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521" windowWidth="9345" windowHeight="8475" tabRatio="934" activeTab="12"/>
  </bookViews>
  <sheets>
    <sheet name="REGISTR" sheetId="1" r:id="rId1"/>
    <sheet name="BALSAL" sheetId="2" r:id="rId2"/>
    <sheet name="PREP." sheetId="3" r:id="rId3"/>
    <sheet name="CARAT" sheetId="4" r:id="rId4"/>
    <sheet name="A.GASTOS" sheetId="5" r:id="rId5"/>
    <sheet name="A.RTDOS" sheetId="6" r:id="rId6"/>
    <sheet name="E.RESUL" sheetId="7" r:id="rId7"/>
    <sheet name="E.E.P.N." sheetId="8" r:id="rId8"/>
    <sheet name="A.BS.USO" sheetId="9" r:id="rId9"/>
    <sheet name="A.INTANG" sheetId="10" r:id="rId10"/>
    <sheet name="E.S.P." sheetId="11" r:id="rId11"/>
    <sheet name="EFE" sheetId="12" r:id="rId12"/>
    <sheet name="RATIOS" sheetId="13" r:id="rId13"/>
  </sheets>
  <externalReferences>
    <externalReference r:id="rId16"/>
  </externalReferences>
  <definedNames>
    <definedName name="_xlnm.Print_Area" localSheetId="4">'A.GASTOS'!$A$1:$K$34</definedName>
    <definedName name="_xlnm.Print_Area" localSheetId="9">'A.INTANG'!$A$1:$P$23</definedName>
    <definedName name="_xlnm.Print_Area" localSheetId="3">'CARAT'!$A$1:$F$26</definedName>
    <definedName name="_xlnm.Print_Area" localSheetId="2">'PREP.'!$A$1:$L$14</definedName>
  </definedNames>
  <calcPr fullCalcOnLoad="1"/>
</workbook>
</file>

<file path=xl/sharedStrings.xml><?xml version="1.0" encoding="utf-8"?>
<sst xmlns="http://schemas.openxmlformats.org/spreadsheetml/2006/main" count="902" uniqueCount="465">
  <si>
    <t>PRESENTADO EN FORMA COMPARATIVA CON EL EJERCICIO ANTERIOR.</t>
  </si>
  <si>
    <t>COMPOSICION DEL CAPITAL</t>
  </si>
  <si>
    <t>CANTIDAD</t>
  </si>
  <si>
    <t>TIPO</t>
  </si>
  <si>
    <t>SUSCRIPTO</t>
  </si>
  <si>
    <t>INTEGRADO</t>
  </si>
  <si>
    <t>CUOTAS</t>
  </si>
  <si>
    <t>ACTIVO</t>
  </si>
  <si>
    <t>$</t>
  </si>
  <si>
    <t>ACTIVO CORRIENTE</t>
  </si>
  <si>
    <t>PASIVO CORRIENTE</t>
  </si>
  <si>
    <t>Otros Activos</t>
  </si>
  <si>
    <t xml:space="preserve">Previsiones </t>
  </si>
  <si>
    <t>TOTAL ACTIVO CORRIENTE</t>
  </si>
  <si>
    <t>TOTAL PASIVO CORRIENTE</t>
  </si>
  <si>
    <t>ACTIVO NO CORRIENTE</t>
  </si>
  <si>
    <t>PASIVO NO CORRIENTE</t>
  </si>
  <si>
    <t>TOTAL DEL PASIVO</t>
  </si>
  <si>
    <t>TOTAL ACTIVO NO CTE.</t>
  </si>
  <si>
    <t>P.NETO (s/ Est. respectivo)</t>
  </si>
  <si>
    <t>TOTAL ACTIVO</t>
  </si>
  <si>
    <t>TOTAL</t>
  </si>
  <si>
    <t>Por el ejercicio finalizado en</t>
  </si>
  <si>
    <t xml:space="preserve">$ </t>
  </si>
  <si>
    <t>GANANCIA (PERDIDA) DEL EJERCICIO</t>
  </si>
  <si>
    <t>ESTADO DE EVOLUCION DEL PATRIMONIO NETO.</t>
  </si>
  <si>
    <t>APORTES DE LOS PROPIETARIOS</t>
  </si>
  <si>
    <t>GANANCIAS RESEVADAS</t>
  </si>
  <si>
    <t>CONCEPTOS</t>
  </si>
  <si>
    <t>CAPITAL SUSCRIPTO</t>
  </si>
  <si>
    <t>AJUSTE DE CAPITAL</t>
  </si>
  <si>
    <t>RESERVA LEGAL</t>
  </si>
  <si>
    <t>OTRAS RESERVAS</t>
  </si>
  <si>
    <t>SALDOS AL INICIO DEL EJERCICIO</t>
  </si>
  <si>
    <t>A RESERVA LEGAL</t>
  </si>
  <si>
    <t>RESULTADO DEL EJERCICIO</t>
  </si>
  <si>
    <t>SALDOS AL CIERRE DEL EJERCICIO.........................</t>
  </si>
  <si>
    <t>BIENES DE USO.</t>
  </si>
  <si>
    <t>VALORES SIN DEPRECIACION</t>
  </si>
  <si>
    <t>DEPRECIACIONES</t>
  </si>
  <si>
    <t>VALOR</t>
  </si>
  <si>
    <t>CONCEPTO</t>
  </si>
  <si>
    <t>Al inicio de Ejercicio</t>
  </si>
  <si>
    <t>Incorporaciones</t>
  </si>
  <si>
    <t>Bajas</t>
  </si>
  <si>
    <t>Reval. Técnico</t>
  </si>
  <si>
    <t>Transfe-rencias</t>
  </si>
  <si>
    <t>Al cierre del Ejercicio</t>
  </si>
  <si>
    <t>Acum. al inicio del Ejercicio</t>
  </si>
  <si>
    <t>Del Ejercicio</t>
  </si>
  <si>
    <t>Acum.al cierre del Ejercicio</t>
  </si>
  <si>
    <t>RESIDUAL NETO</t>
  </si>
  <si>
    <t>Edificios</t>
  </si>
  <si>
    <t>Terrenos</t>
  </si>
  <si>
    <t>Muebles y Utiles</t>
  </si>
  <si>
    <t>Instalaciones</t>
  </si>
  <si>
    <t>Biblioteca</t>
  </si>
  <si>
    <t>TOTALES</t>
  </si>
  <si>
    <t>GASTOS DE COMERCIALI- ZACION.</t>
  </si>
  <si>
    <t>OTROS              EGRESOS.</t>
  </si>
  <si>
    <t>%</t>
  </si>
  <si>
    <t>IMPORTE</t>
  </si>
  <si>
    <t>TOTALES...........</t>
  </si>
  <si>
    <t xml:space="preserve">MAS: </t>
  </si>
  <si>
    <t>Compras</t>
  </si>
  <si>
    <t>Resultados de Tenencia  Negativo</t>
  </si>
  <si>
    <t>SUBTOTAL</t>
  </si>
  <si>
    <t>MENOS:</t>
  </si>
  <si>
    <t>Existencia Final de Bs. de Cambio</t>
  </si>
  <si>
    <t>PASIVO</t>
  </si>
  <si>
    <t>FIRMADO A EFECTOS DE IDENTIFICACION CON INFORME DE AUDITORIA.</t>
  </si>
  <si>
    <t xml:space="preserve">TOTAL EJERCICIO </t>
  </si>
  <si>
    <t>Rodados</t>
  </si>
  <si>
    <t>TOTAL PASIVO NO CTE.</t>
  </si>
  <si>
    <t>ASIGNACION DE RESULTADOS :</t>
  </si>
  <si>
    <t>ESTADOS CONTABLES EXPRESADOS EN PESOS</t>
  </si>
  <si>
    <t xml:space="preserve">ESTADO DE RESULTADOS. </t>
  </si>
  <si>
    <t>PATRIMONIO NETO 2002</t>
  </si>
  <si>
    <t>COMPARATIVO CON EL EJERCICIO ANTERIOR EN MONEDA DE PODER ADQUISITIVO DE CIERRE.</t>
  </si>
  <si>
    <t>Información requerida por el Art. 64 inc. b) de la Ley 19.550</t>
  </si>
  <si>
    <t>GASTOS OPERATIVOS POR FUNCIONES Y OTROS GASTOS</t>
  </si>
  <si>
    <t>ESTADO DE FLUJO DE EFECTIVO (Método indirecto)</t>
  </si>
  <si>
    <t>Variaciones del efectivo</t>
  </si>
  <si>
    <t>Actual</t>
  </si>
  <si>
    <t xml:space="preserve">Efectivo al inicio del ejercicio </t>
  </si>
  <si>
    <t>Modificación de ejercicios anteriores (Nota ....)</t>
  </si>
  <si>
    <t>Efectivo modificado al inicio del ejercicio (Nota ...)</t>
  </si>
  <si>
    <t>Aumento (Disminución) neta del efectivo</t>
  </si>
  <si>
    <t>Causas de las variaciones del efectivo</t>
  </si>
  <si>
    <t>Actividades operativas</t>
  </si>
  <si>
    <t>Ganancia (Pérdida) ordinaria del ejercicio</t>
  </si>
  <si>
    <t>Depreciación de bienes de uso y activos intangibles</t>
  </si>
  <si>
    <t>Resultados de inversiones en entes relacionados</t>
  </si>
  <si>
    <t>Resultado por venta de bienes de uso</t>
  </si>
  <si>
    <t>Cambios en activos y pasivos operativos:</t>
  </si>
  <si>
    <t>(Aumento) Disminución  en créditos por ventas</t>
  </si>
  <si>
    <t>(Aumento) Disminución en otros créditos</t>
  </si>
  <si>
    <t>(Aumento) Disminución en bienes de cambio</t>
  </si>
  <si>
    <t>Aumento (Disminución) en deudas comerciales</t>
  </si>
  <si>
    <t>Ganancia (pérdida) extraordinaria del ejercicio</t>
  </si>
  <si>
    <t xml:space="preserve">             Valor residual de activos dados de baja por siniestro</t>
  </si>
  <si>
    <t xml:space="preserve">             Resultados devengados en el ejercicio y no cobrados</t>
  </si>
  <si>
    <t>Cobros por ventas de bienes de uso</t>
  </si>
  <si>
    <t>Pagos por compras de bienes de uso</t>
  </si>
  <si>
    <t>Pagos por compra de la Compañía XX</t>
  </si>
  <si>
    <t>Cobros por la emisión de obligaciones negociables</t>
  </si>
  <si>
    <t>Aportes en efectivo de los propietarios</t>
  </si>
  <si>
    <t>Pagos de préstamos</t>
  </si>
  <si>
    <t>Baja bienes de uso por deterioro</t>
  </si>
  <si>
    <t>Otros resultados no relacionados con flujos de efectivo</t>
  </si>
  <si>
    <t>Aumento (Disminución) en otras deudas</t>
  </si>
  <si>
    <t>1Los conceptos incluidos en esta línea son necesarios para poder presentar por separado los intereses, dividendos e impuestos pagados y los intereses y dividendos cobrados durante el ejercicio.</t>
  </si>
  <si>
    <t xml:space="preserve">2Podrían haber sido clasificados en actividades de financiación. </t>
  </si>
  <si>
    <t>3Cuando el impuesto a las ganancias o parte de él pueda identificarse con flujos de efectivo asociados a actividades de inversión o financiación deberá clasificarse dentro de estas actividades.</t>
  </si>
  <si>
    <t>4Podrían haber sido clasificados en actividades de inversión</t>
  </si>
  <si>
    <t>5Puede presentarse solo este renglón, pero referenciando a una nota donde se explique su composición</t>
  </si>
  <si>
    <t xml:space="preserve">6Deben separarse las partidas ordinarias de las extraordinarias </t>
  </si>
  <si>
    <t>CIERRE EJERCICIO</t>
  </si>
  <si>
    <t>CIERRE EJERC. ANTERIOR</t>
  </si>
  <si>
    <t>CIERRE EJERCICIO ANTERIOR</t>
  </si>
  <si>
    <t>DEL EJERCICIO ANTERIOR</t>
  </si>
  <si>
    <t>DEL EJERCICIO</t>
  </si>
  <si>
    <t>RESULTADOS NO ASIGNADOS</t>
  </si>
  <si>
    <t>TOTAL PATRIMONIO NETO AL CIERRE DEL EJERC.</t>
  </si>
  <si>
    <t>TOTAL PATRIMONIO NETO AL CIERRE DEL EJERC. ANTERIOR</t>
  </si>
  <si>
    <t>COSTO BS. DE CAMBIO VENDIDOS</t>
  </si>
  <si>
    <t>TOTAL EJERCICIO ANTERIOR</t>
  </si>
  <si>
    <t>EJERCICIO</t>
  </si>
  <si>
    <t>HOJA DE TRABAJO ESTADO DE FLUJO DE EFECTIVO</t>
  </si>
  <si>
    <t>ANEXO  I</t>
  </si>
  <si>
    <t>ANEXO III</t>
  </si>
  <si>
    <t>Otros Créditos (Nota ..)</t>
  </si>
  <si>
    <t>Bienes de Cambio (Nota ..)</t>
  </si>
  <si>
    <t>Créditos por Ventas (Nota ….)</t>
  </si>
  <si>
    <t>Otros Activos (Nota …)</t>
  </si>
  <si>
    <t>Deudas</t>
  </si>
  <si>
    <t>Dividendos a Pagar (Nota …)</t>
  </si>
  <si>
    <t>Otras (Nota …)</t>
  </si>
  <si>
    <t>Total deudas</t>
  </si>
  <si>
    <t>Resultado por valuación Bs. Cb. a V.N.R. (Nota …)</t>
  </si>
  <si>
    <t>Resultado de Inversiones en Entes Relacionados (Nota …)</t>
  </si>
  <si>
    <t>Ganancia (Pérdida) Antes de Impuesto a las Ganancias</t>
  </si>
  <si>
    <t>Ganancia (Pérdida) de las Operaciones Ordinaria</t>
  </si>
  <si>
    <t>Impuesto a las Ganancias (Nota …)</t>
  </si>
  <si>
    <t>PRIMA DE EMISION</t>
  </si>
  <si>
    <t>RESULTADOS ACUMULADOS</t>
  </si>
  <si>
    <t>RESULTADOS DIFERIDOS</t>
  </si>
  <si>
    <t>MODIFICACIONES DEL SALDO (Nota …)</t>
  </si>
  <si>
    <t>SALDOS AL INICIO MODIFICADO</t>
  </si>
  <si>
    <t>SUSCRIPCION DE ACCIONES (Nota …)</t>
  </si>
  <si>
    <t>CAPITALIZACION  DE APORTES IRREVOCABLES</t>
  </si>
  <si>
    <t>A DISTRIBUCION DE UTILIDADES EN EFECTIVO</t>
  </si>
  <si>
    <t>A DIVIDENDOS EN ACCIONES</t>
  </si>
  <si>
    <t>ABSORCION DE PERDIDAS ACUMULADAS</t>
  </si>
  <si>
    <t>APORTES IRREVOCA  BLES</t>
  </si>
  <si>
    <t xml:space="preserve">Más (Menos) Intereses ganados y perdidos, dividendos ganados e impuesto a las ganancias devengados en el ejercicio </t>
  </si>
  <si>
    <t>Ajustes para arribar al flujo neto de efectivo  proveniente de las actividades operativas:</t>
  </si>
  <si>
    <t xml:space="preserve">Flujo neto de efectivo generado (utilizado) antes de las operaciones extraordinarias </t>
  </si>
  <si>
    <t>Flujo neto de efectivo generado por (utilizado en)  las actividades operativas</t>
  </si>
  <si>
    <t>Flujo neto de efectivo generado por (utilizado en)  las actividades de inversión</t>
  </si>
  <si>
    <t>Flujo neto de efectivo generado por (utilizado en)  las actividades de financiación</t>
  </si>
  <si>
    <t>Ajustes para arribar al flujo neto de efectivo  proveniente de las actividades extraordinarias:</t>
  </si>
  <si>
    <t xml:space="preserve">                   Resultados cobrados en el ejercicio y devengados en ejercicios anteriores</t>
  </si>
  <si>
    <t>Existencia inicial Bs. de Cambio</t>
  </si>
  <si>
    <t>FECHA INSCRIPCION  R.P.C. DE MODIFICACIONES AL CONTRATO SOCIAL: - - - - - - - -</t>
  </si>
  <si>
    <t>DETERMINACION DEL COSTO DE VENTAS</t>
  </si>
  <si>
    <t>Ventas Netas de Bienes  y Servicios</t>
  </si>
  <si>
    <t>Costo de los Bienes Vendidos y Servicios Prestados</t>
  </si>
  <si>
    <t>FECHA DE VENCIMIENTO DEL CONTR. SOCIAL:31/12/2090</t>
  </si>
  <si>
    <t>VARIACION</t>
  </si>
  <si>
    <t>VARIACION EyEE</t>
  </si>
  <si>
    <t>NOTA: Se adquirieron bienes de uso por $ 13.000. Los mismos se adeudan totalmente al cierre</t>
  </si>
  <si>
    <t>NOTAS</t>
  </si>
  <si>
    <t>(1)Asignac.Divid.</t>
  </si>
  <si>
    <t>Cobros de Prestamos</t>
  </si>
  <si>
    <t>VARIACION PRIMARIA SALDO</t>
  </si>
  <si>
    <t>SALDOS</t>
  </si>
  <si>
    <t>EL ORDEN DE PREPARACIÓN SEGUIDO ES EL SIGUIENTE:</t>
  </si>
  <si>
    <t>CARATULA</t>
  </si>
  <si>
    <t>ANEXO I. BIENES DE USO.</t>
  </si>
  <si>
    <t>ESTADO DE SITUACION PATRIMONIAL (O BALANCE GENERAL)</t>
  </si>
  <si>
    <t>DEBE (1)</t>
  </si>
  <si>
    <t>HABER (2)</t>
  </si>
  <si>
    <t>DEBE (3)</t>
  </si>
  <si>
    <t>HABER (4)</t>
  </si>
  <si>
    <t>REFERENCIA (1) (2) (3) y (4)</t>
  </si>
  <si>
    <t>(2)Asignac.Divid.</t>
  </si>
  <si>
    <t>(2) Amort.</t>
  </si>
  <si>
    <t>AMORT. GASTOS DE ORGANIZACIÓN</t>
  </si>
  <si>
    <t>AMORT. INSTALACIONES</t>
  </si>
  <si>
    <t>AMORT. MUEBLES Y UTILES</t>
  </si>
  <si>
    <t>AMORT. RODADOS</t>
  </si>
  <si>
    <t>AMORT. SOFTWARE CONTABLE</t>
  </si>
  <si>
    <t>CAFETERIA Y OTROS</t>
  </si>
  <si>
    <t>COMBUSTIBLES</t>
  </si>
  <si>
    <t>CONTRIBUCIONES SOCIALES</t>
  </si>
  <si>
    <t>CORRESPONDENCIA Y TELEGRAMAS</t>
  </si>
  <si>
    <t>DEUDORES INCOBRABLES</t>
  </si>
  <si>
    <t>ENERGIA ELECTRICA</t>
  </si>
  <si>
    <t>GASTOS Y COMISIONES BANCARIAS</t>
  </si>
  <si>
    <t>HONORARIOS</t>
  </si>
  <si>
    <t>IMPRESOS Y UTILES DE ESCRITORIO</t>
  </si>
  <si>
    <t>IMPUESTO A LOS INGRESOS BRUTOS</t>
  </si>
  <si>
    <t>IMPUESTOS Y TASAS MUNICIPALES</t>
  </si>
  <si>
    <t>MANTENIMIENTO</t>
  </si>
  <si>
    <t>SUELDOS</t>
  </si>
  <si>
    <t>TELEFONO</t>
  </si>
  <si>
    <t>IMAGINATE S.R.L.</t>
  </si>
  <si>
    <t>FINALIZADO EL: 31/12/2004</t>
  </si>
  <si>
    <t>INICIADO EL: 01/01/2004</t>
  </si>
  <si>
    <t>EJERCICIO ANUAL FINALIZADO EL 31/12/2004</t>
  </si>
  <si>
    <t>Composición y Evolución durante el ejercicio finalizado el 31/12/2004.</t>
  </si>
  <si>
    <t>ESTADO DE SITUACION PATRIMONIAL (O BALANCE GENERAL)  AL 31/12/2004</t>
  </si>
  <si>
    <t>EJERCICIO ANUAL Nº 5</t>
  </si>
  <si>
    <t>DOMICILIO LEGAL:  AYACUCHO 1.600.  SAN LUIS.</t>
  </si>
  <si>
    <t>ACTIVIDAD PRINCIPAL:  VENTA DE INSUMOS PARA DIAGNOSTICO POR IMAGEN</t>
  </si>
  <si>
    <t>Por el ejercicio finalizado el 31/12/2004</t>
  </si>
  <si>
    <t>ACTIVOS INTANGIBLES</t>
  </si>
  <si>
    <t>ANEXO  II</t>
  </si>
  <si>
    <t>ANEXO IV</t>
  </si>
  <si>
    <t>GASTOS DE ORGANIZACIÓN</t>
  </si>
  <si>
    <t>SOFTWARE CONTABLE</t>
  </si>
  <si>
    <t>UCC AUDITORES</t>
  </si>
  <si>
    <t>REGISTRACIONES SUGERIDAS</t>
  </si>
  <si>
    <t>EMPRESA: IMAGINATE S.R.L.</t>
  </si>
  <si>
    <t>CIERRE EJERCICIO: 31/12/2004</t>
  </si>
  <si>
    <t>CUENTAS</t>
  </si>
  <si>
    <t>DEBE</t>
  </si>
  <si>
    <t>HABER</t>
  </si>
  <si>
    <t>ORIGEN</t>
  </si>
  <si>
    <t>OBSERVACIONES</t>
  </si>
  <si>
    <t>CAJA Y BANCOS</t>
  </si>
  <si>
    <t>FONDOS A DEPOSITAR</t>
  </si>
  <si>
    <t>A2</t>
  </si>
  <si>
    <t>PASADO BAL. SALDOS</t>
  </si>
  <si>
    <t>DEUDORES POR VENTA</t>
  </si>
  <si>
    <t>CHEQUES DE PAGO DIFER. A COBRAR</t>
  </si>
  <si>
    <t>ANTICIPO DE SUELDOS</t>
  </si>
  <si>
    <t>FONDO FIJO</t>
  </si>
  <si>
    <t>MONEDA EXTRANJERA</t>
  </si>
  <si>
    <t>A3</t>
  </si>
  <si>
    <t>RFT-DIFERENCIA DE CAMBIO</t>
  </si>
  <si>
    <t>BANCO REGIONAL C/CTE.</t>
  </si>
  <si>
    <t>A7</t>
  </si>
  <si>
    <t>CHEQUE DE P. DIFERIDO B. REGIONAL</t>
  </si>
  <si>
    <t>PROVEEDORES</t>
  </si>
  <si>
    <t>GASTOS Y COMIS. BANCARIAS</t>
  </si>
  <si>
    <t>CREDITOS Y VENTAS</t>
  </si>
  <si>
    <t>INTERESES S/ACTIVOS A DEVENGAR-DS.POR VTAS-</t>
  </si>
  <si>
    <t>C3</t>
  </si>
  <si>
    <t>RFT-INT. GENERADOS POR ACTIVOS</t>
  </si>
  <si>
    <t>DEUDORES POR VENTAS</t>
  </si>
  <si>
    <t>INTERESES S/ACTIVOS A DEVENGAR-CH.P. DIFERIDOS-</t>
  </si>
  <si>
    <t>C5</t>
  </si>
  <si>
    <t>VENTAS</t>
  </si>
  <si>
    <t>ANTICIPOS DE CLIENTES</t>
  </si>
  <si>
    <t>INTERESES S/ACTIVOS A DEVENGAR-DOC. A COBRAR-</t>
  </si>
  <si>
    <t>C7</t>
  </si>
  <si>
    <t>DOCUMENTOS A COBRAR</t>
  </si>
  <si>
    <t>INT-S/ACTIVOS A DEVENGAR-DOC. A COBRAR-</t>
  </si>
  <si>
    <t>RFT</t>
  </si>
  <si>
    <t>C10</t>
  </si>
  <si>
    <t>BINES DE CAMBIO Y COSTO DE VENTAS</t>
  </si>
  <si>
    <t>D5</t>
  </si>
  <si>
    <t>MERCADERIAS</t>
  </si>
  <si>
    <t>COSTO MERCADERIAS VENDIDAS</t>
  </si>
  <si>
    <t>INVERSIONES Y SUS RESULTADOS</t>
  </si>
  <si>
    <t>DIVIDENDOS OBTENIDOS</t>
  </si>
  <si>
    <t>B2</t>
  </si>
  <si>
    <t xml:space="preserve">  A ACCIONES</t>
  </si>
  <si>
    <t>INTERESES PLAZOS FIJOS A DEVENGAR</t>
  </si>
  <si>
    <t>B4</t>
  </si>
  <si>
    <t xml:space="preserve">RFT-INTERESES PLAZOS FIJOS </t>
  </si>
  <si>
    <t>BIENES DE USO Y AMORTIZACIONES</t>
  </si>
  <si>
    <t>MUEBLES Y UTILES</t>
  </si>
  <si>
    <t>E3</t>
  </si>
  <si>
    <t>INSTALACIONES</t>
  </si>
  <si>
    <t>RODADOS</t>
  </si>
  <si>
    <t>A.A. MUEBLES Y UTILES</t>
  </si>
  <si>
    <t>A.A. INSTALACIONES</t>
  </si>
  <si>
    <t>A.A. RODADOS</t>
  </si>
  <si>
    <t>a VENTA BIENES DE USO</t>
  </si>
  <si>
    <t>RODADO</t>
  </si>
  <si>
    <t>a AMORT. ACUM. RODADOS</t>
  </si>
  <si>
    <t>a RFT</t>
  </si>
  <si>
    <t>COSTO DE VENTA B.U.</t>
  </si>
  <si>
    <t>AMORT ACUM. RODADOS</t>
  </si>
  <si>
    <t>a RODADOS</t>
  </si>
  <si>
    <t>F2</t>
  </si>
  <si>
    <t>A.A. GASTOS DE ORGANIZACIÓN</t>
  </si>
  <si>
    <t>A.A.SOFTWARE CONTABLE</t>
  </si>
  <si>
    <t>DEUDAS COMERCIALES</t>
  </si>
  <si>
    <t>RFT-INTERESES GENERADOS POR PASIVOS-</t>
  </si>
  <si>
    <t>AA2</t>
  </si>
  <si>
    <t>INTERESES SOBRE PASIVOS A DEV.-PROVEED-</t>
  </si>
  <si>
    <t>AA4</t>
  </si>
  <si>
    <t>INTERESES SOBRE PASIVOS A DEV.-CH. PAG. DIF. REG-</t>
  </si>
  <si>
    <t>DEUDAS FINANCIERA</t>
  </si>
  <si>
    <t>BB2</t>
  </si>
  <si>
    <t>INTERESES SOBRE PASIVOS A DEV.-DOC A PAG C.G.R.-</t>
  </si>
  <si>
    <t>DEUDAS SOCIALES Y PREVISONALES</t>
  </si>
  <si>
    <t>CC1</t>
  </si>
  <si>
    <t>PATRIMONIO NETO</t>
  </si>
  <si>
    <t>AJUSTE DEL CAPITAL</t>
  </si>
  <si>
    <t>OTRAS CTAS. DE RESULT</t>
  </si>
  <si>
    <t>SALDOS EMPRESA</t>
  </si>
  <si>
    <t>AJUSTES AUDITORIA</t>
  </si>
  <si>
    <t>SALDOS AJUSTADOS</t>
  </si>
  <si>
    <t>BANCO REGIONAL C.C.</t>
  </si>
  <si>
    <t>ACCIONES</t>
  </si>
  <si>
    <t>PLAZO FIJO BANCO REGIONAL</t>
  </si>
  <si>
    <t>DIVIDENDOS A COBRAR</t>
  </si>
  <si>
    <t>INT. S/ACT. A DEVENGAR-DS. POR VTA-</t>
  </si>
  <si>
    <t>CHEQUES DE PAGO DIFERIDO A COBRAR</t>
  </si>
  <si>
    <t>INT. S/ACT. A DEVENGAR-CH. PAGO DIF--</t>
  </si>
  <si>
    <t>INT. S/ACT. A DEVENGAR-DOC. A COBR-</t>
  </si>
  <si>
    <t>INT.S/PASIVOS A DEVENGAR-PROVEEDORES-</t>
  </si>
  <si>
    <t>INT.S/PASIVOS A DEVENGAR-CH.PAGO DIFER.REG-</t>
  </si>
  <si>
    <t>DOCUMENTOS A PAGAR C.G.R.</t>
  </si>
  <si>
    <t>INT.S/PASIVOS A DEVENGAR-DOC. A PAG.C.G.R.-</t>
  </si>
  <si>
    <t>SUELDOS A PAGAR</t>
  </si>
  <si>
    <t>SUSS</t>
  </si>
  <si>
    <t>OTROS APORTES Y CONT. A PAGAR</t>
  </si>
  <si>
    <t>IMPUESTO A LAS GANANCIAS A PAG.</t>
  </si>
  <si>
    <t>ANTICIPO IMP. A LAS GAN.</t>
  </si>
  <si>
    <t>PATRIM. NETO</t>
  </si>
  <si>
    <t>RESULTADO</t>
  </si>
  <si>
    <t>T.P.N.</t>
  </si>
  <si>
    <t>VENTAS BIENES DE USO</t>
  </si>
  <si>
    <t xml:space="preserve">RFT-INT. PLAZO FIJOS- </t>
  </si>
  <si>
    <t>RFT-INT.GENERADOS POR ACT.-</t>
  </si>
  <si>
    <t>INGRESOS</t>
  </si>
  <si>
    <t>COSTO DE VENTA BIENES DE USO</t>
  </si>
  <si>
    <t>IMPUESTO A LAS GANANCIAS</t>
  </si>
  <si>
    <t>RFT-INTERESES GENERADOS POR PASIVOS</t>
  </si>
  <si>
    <t>GASTOS</t>
  </si>
  <si>
    <t>(1) AMORT.DEL EJ.</t>
  </si>
  <si>
    <t>PREST.  20.000  PAGO    (10.629,93)  INT DEV  1.154,26</t>
  </si>
  <si>
    <t>(4) C.Vta. BU</t>
  </si>
  <si>
    <t>(1) AMORT.DEL EJ.  (3) C.V.(BAJA)</t>
  </si>
  <si>
    <t>(3) Dev. I.G.</t>
  </si>
  <si>
    <t>(4) Anul. Dev.</t>
  </si>
  <si>
    <t>Pago adquisición participación en sociedades</t>
  </si>
  <si>
    <t>DATOS PARA ANALISIS E INTERPRETACION DE ESTADOS CONTABLES</t>
  </si>
  <si>
    <t>ACTUAL</t>
  </si>
  <si>
    <t>ANTERIOR</t>
  </si>
  <si>
    <t>Estado de Situación Patrimonial</t>
  </si>
  <si>
    <t>Activo Corriente</t>
  </si>
  <si>
    <t>Inversiones Corrientes</t>
  </si>
  <si>
    <t>Créditos Corrientes</t>
  </si>
  <si>
    <t>Créditos por ventas</t>
  </si>
  <si>
    <t>Bienes de Cambio</t>
  </si>
  <si>
    <t>Activo No Corriente</t>
  </si>
  <si>
    <t>Créditos No Corrientes</t>
  </si>
  <si>
    <t>Bienes de Uso</t>
  </si>
  <si>
    <t>Activo Total</t>
  </si>
  <si>
    <t>Pasivo Corriente</t>
  </si>
  <si>
    <t>Deudas Corrientes</t>
  </si>
  <si>
    <t>Deudas por Compras Corrientes</t>
  </si>
  <si>
    <t>Pasivo No Corriente</t>
  </si>
  <si>
    <t>Deudas No Corrientes</t>
  </si>
  <si>
    <t>Deudas por Compras No Corrientes</t>
  </si>
  <si>
    <t>Pasivo Total</t>
  </si>
  <si>
    <t>Patrimonio Neto</t>
  </si>
  <si>
    <t>Estado de Resultados</t>
  </si>
  <si>
    <t>Ventas</t>
  </si>
  <si>
    <t>Costo de Ventas</t>
  </si>
  <si>
    <t>Ganancia Bruta</t>
  </si>
  <si>
    <t>Resultado generado por la Actividad</t>
  </si>
  <si>
    <t>Ganacia Ordinaria</t>
  </si>
  <si>
    <t>RATIOS PARA ANALISIS DE ESTADOS CONTABLES.</t>
  </si>
  <si>
    <t>SITUACION FINANCIERA:</t>
  </si>
  <si>
    <t>LIQUIDEZ</t>
  </si>
  <si>
    <t>ACT.CTE./PAS.CTE.</t>
  </si>
  <si>
    <t>PRUEBA ACIDA</t>
  </si>
  <si>
    <t>(DISP.+INV.CTES.+CRED.CTES.)/PAS.CTE.</t>
  </si>
  <si>
    <t>LIQUIDEZ A LARGO PLAZO</t>
  </si>
  <si>
    <t>(ACT.CTE.+CRE.NO CTES.)/PAS.TOTAL</t>
  </si>
  <si>
    <t>PERIODO DE COBRANZAS</t>
  </si>
  <si>
    <t>365/(VENTAS / CREDITOS POR VTAS)</t>
  </si>
  <si>
    <t>PERIODO DE INVENTARIO</t>
  </si>
  <si>
    <t>365/(COSTO DE VTAS. / STOCK MEDIO)</t>
  </si>
  <si>
    <t>PERIODO DE INVENT.+PERIODO DE COBR.</t>
  </si>
  <si>
    <t>PERIODO DE INVENT. + PERIODO DE COBR.</t>
  </si>
  <si>
    <t>PERIODO DE PAGO</t>
  </si>
  <si>
    <t>365/(COMPRAS / DEUDAS POR COMPRAS)</t>
  </si>
  <si>
    <t>SITUACION PATRIMONIAL</t>
  </si>
  <si>
    <t>ENDEUDAMIENTO</t>
  </si>
  <si>
    <t>PASIVO TOT. / P.N.</t>
  </si>
  <si>
    <t>FINANC. DE LA INVERSION INMOVILIZ.</t>
  </si>
  <si>
    <t>P.N. / ACT.NO CTE.</t>
  </si>
  <si>
    <t>FINANCIACION DE ACTIVOS INMOVILIZADOS</t>
  </si>
  <si>
    <t>(P.N. + PAS. NO CTE.) / BIENES DE USO E INTANG.</t>
  </si>
  <si>
    <t>INMOVILIZACION DE LA INVERSION</t>
  </si>
  <si>
    <t>ACT. NO CTE. / ACT. TOTAL</t>
  </si>
  <si>
    <t>SOLVENCIA</t>
  </si>
  <si>
    <t>P.N. / PASIVO TOT.</t>
  </si>
  <si>
    <t>INMOVILIZACION DEL ACTIVO FIJO SOBRE EL ACT. TOTAL.</t>
  </si>
  <si>
    <t>(BS. USO + INTANG.) / ACT. TOT.</t>
  </si>
  <si>
    <t>SITUACION ECONOMICA</t>
  </si>
  <si>
    <t>DE LA GANANCIA BRUTA POR PESO VENDIDI</t>
  </si>
  <si>
    <t>GAN.BRUTA / VENTAS</t>
  </si>
  <si>
    <t>DEL COSTO DE VENTAS POR PESO VENDIDO</t>
  </si>
  <si>
    <t>COSTO DE VENTAS / VENTAS</t>
  </si>
  <si>
    <t>DEL MARGEN BRUTO</t>
  </si>
  <si>
    <t>(VENTAS / COSTO DE VTAS.)-1</t>
  </si>
  <si>
    <t>RENTABILIDAD DEL ACTIVO</t>
  </si>
  <si>
    <t>RESULT. GENERADO POR ACT. / ACT. TOTAL</t>
  </si>
  <si>
    <t>RENTABILIDAD DEL PATRIMONIO</t>
  </si>
  <si>
    <t>RESULT. ORDINARIO / P.N.</t>
  </si>
  <si>
    <t>ROTACION DEL CAPITAL</t>
  </si>
  <si>
    <t>VENTAS / P.N.</t>
  </si>
  <si>
    <t>Caja y Bancos</t>
  </si>
  <si>
    <t>VARIAC %.</t>
  </si>
  <si>
    <t xml:space="preserve">(MONEDA PODER ADQUISITIVO DE CIERRE) </t>
  </si>
  <si>
    <t>ANEXO III. DETERMINACION DEL COSTO DE VENTAS</t>
  </si>
  <si>
    <t>ANEXO IV. GASTOS OPERATIVOS POR FUNCIONES Y OTROS GASTOS</t>
  </si>
  <si>
    <t>ANEXO II. ACTIVOS INTANGIBLES</t>
  </si>
  <si>
    <t>EL ORDEN DE PRESENTACION</t>
  </si>
  <si>
    <t>INFORME DEL AUDITOR</t>
  </si>
  <si>
    <t>INSCRIPCION EN EL R.P.C. DE SAN LUIS AL T.203 F.56/59 EL 31/12/2.000</t>
  </si>
  <si>
    <t>Inversiones Temporarias (Nota 3)</t>
  </si>
  <si>
    <t>Caja y Bancos (Nota 2)</t>
  </si>
  <si>
    <t>Otras Inversiones (Nota 3)</t>
  </si>
  <si>
    <t>I nc</t>
  </si>
  <si>
    <t>Ic</t>
  </si>
  <si>
    <t>CYB</t>
  </si>
  <si>
    <t>CV</t>
  </si>
  <si>
    <t>Créditos por Ventas (Nota 4)</t>
  </si>
  <si>
    <t>Bienes de Cambio (Nota 5)</t>
  </si>
  <si>
    <t>Bienes de Uso (Anexo I. Nota 6)</t>
  </si>
  <si>
    <t>Activos Intangibles ( Anexo II. Nota 7)</t>
  </si>
  <si>
    <t>BC</t>
  </si>
  <si>
    <t>BU</t>
  </si>
  <si>
    <t>AI</t>
  </si>
  <si>
    <t>DC</t>
  </si>
  <si>
    <t>P</t>
  </si>
  <si>
    <t>RYCS</t>
  </si>
  <si>
    <t>CF</t>
  </si>
  <si>
    <t>Comerciales (Nota 8)</t>
  </si>
  <si>
    <t>Prestamos (Nota 9)</t>
  </si>
  <si>
    <t>Remuneraciones y C.Soc. (Nota 10)</t>
  </si>
  <si>
    <t>Cargas Fiscales (Nota 11)</t>
  </si>
  <si>
    <t>Anticipos de Clientes (Nota 12)</t>
  </si>
  <si>
    <t>Gastos de Comercialización (Anexo IV.)</t>
  </si>
  <si>
    <t>Gastos de Administración (Anexo IV.)</t>
  </si>
  <si>
    <t>Otros Gastos (Anexo IV)</t>
  </si>
  <si>
    <t>Resultados Financieros y por Tenencia (incluido el R.E.C.P.A.M.) (Nota 1)</t>
  </si>
  <si>
    <t>Otros Ingresos y Egresos (Nota 13)</t>
  </si>
  <si>
    <t>Efectivo al cierre del ejercicio (Nota 15)</t>
  </si>
  <si>
    <t>Participac. Perman. en Soc. (Anexo.Nota.)</t>
  </si>
  <si>
    <t>Resultados de las Operaciones Extraordinarias (Nota.)</t>
  </si>
  <si>
    <r>
      <t>Anterior</t>
    </r>
    <r>
      <rPr>
        <b/>
        <sz val="8"/>
        <rFont val="Times New Roman"/>
        <family val="1"/>
      </rPr>
      <t xml:space="preserve"> </t>
    </r>
  </si>
  <si>
    <r>
      <t xml:space="preserve">Actividades de inversión </t>
    </r>
    <r>
      <rPr>
        <b/>
        <u val="single"/>
        <vertAlign val="superscript"/>
        <sz val="8"/>
        <rFont val="Times New Roman"/>
        <family val="1"/>
      </rPr>
      <t>6</t>
    </r>
  </si>
  <si>
    <r>
      <t xml:space="preserve">Actividades de financiación </t>
    </r>
    <r>
      <rPr>
        <b/>
        <u val="single"/>
        <vertAlign val="superscript"/>
        <sz val="8"/>
        <rFont val="Times New Roman"/>
        <family val="1"/>
      </rPr>
      <t>6</t>
    </r>
  </si>
  <si>
    <r>
      <t>Aumento (Disminución) neta del efectivo</t>
    </r>
    <r>
      <rPr>
        <b/>
        <sz val="14"/>
        <rFont val="Times New Roman"/>
        <family val="1"/>
      </rPr>
      <t xml:space="preserve"> </t>
    </r>
  </si>
  <si>
    <r>
      <t xml:space="preserve">Pagos de intereses </t>
    </r>
    <r>
      <rPr>
        <vertAlign val="superscript"/>
        <sz val="10"/>
        <rFont val="Times New Roman"/>
        <family val="1"/>
      </rPr>
      <t>2</t>
    </r>
  </si>
  <si>
    <r>
      <t xml:space="preserve">Pagos de impuesto a las ganancias </t>
    </r>
    <r>
      <rPr>
        <vertAlign val="superscript"/>
        <sz val="10"/>
        <rFont val="Times New Roman"/>
        <family val="1"/>
      </rPr>
      <t>3</t>
    </r>
  </si>
  <si>
    <r>
      <t xml:space="preserve">Cobros de dividendos </t>
    </r>
    <r>
      <rPr>
        <vertAlign val="superscript"/>
        <sz val="10"/>
        <rFont val="Times New Roman"/>
        <family val="1"/>
      </rPr>
      <t>4</t>
    </r>
  </si>
  <si>
    <r>
      <t xml:space="preserve">Pagos de dividendos </t>
    </r>
    <r>
      <rPr>
        <vertAlign val="superscript"/>
        <sz val="10"/>
        <rFont val="Times New Roman"/>
        <family val="1"/>
      </rPr>
      <t>2</t>
    </r>
  </si>
  <si>
    <r>
      <t xml:space="preserve">Cobros de intereses </t>
    </r>
    <r>
      <rPr>
        <vertAlign val="superscript"/>
        <sz val="10"/>
        <rFont val="Times New Roman"/>
        <family val="1"/>
      </rPr>
      <t>4</t>
    </r>
  </si>
  <si>
    <r>
      <t xml:space="preserve">Flujo neto de efectivo generado por (utilizado en) las actividades extraordinarias </t>
    </r>
    <r>
      <rPr>
        <b/>
        <u val="single"/>
        <vertAlign val="superscript"/>
        <sz val="8"/>
        <rFont val="Times New Roman"/>
        <family val="1"/>
      </rPr>
      <t>5</t>
    </r>
  </si>
  <si>
    <t>GASTOS DE ADMINISTRACION.</t>
  </si>
  <si>
    <t xml:space="preserve">I M A G I N A T E   S R L  </t>
  </si>
  <si>
    <t>pasivo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</si>
</sst>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#.00;\(#,###.00\)"/>
    <numFmt numFmtId="189" formatCode="\$#,###.00;\$\(#,###.00\)"/>
    <numFmt numFmtId="190" formatCode="0.00_);\(0.00\)"/>
    <numFmt numFmtId="191" formatCode="0.0"/>
    <numFmt numFmtId="192" formatCode="_-* #,##0.00\ [$€]_-;\-* #,##0.00\ [$€]_-;_-* &quot;-&quot;??\ [$€]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&quot;$&quot;\ #,##0.00"/>
    <numFmt numFmtId="197" formatCode="[$€-2]\ #,##0.00_);[Red]\([$€-2]\ #,##0.00\)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sz val="9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56"/>
      <name val="Arial"/>
      <family val="2"/>
    </font>
    <font>
      <sz val="9"/>
      <color indexed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8"/>
      <color indexed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u val="single"/>
      <sz val="8"/>
      <name val="Times New Roman"/>
      <family val="1"/>
    </font>
    <font>
      <b/>
      <u val="single"/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9"/>
      <name val="Times New Roman"/>
      <family val="1"/>
    </font>
    <font>
      <b/>
      <sz val="15"/>
      <name val="Arial"/>
      <family val="2"/>
    </font>
    <font>
      <b/>
      <sz val="20"/>
      <color indexed="10"/>
      <name val="Times New Roman"/>
      <family val="1"/>
    </font>
    <font>
      <b/>
      <sz val="15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name val="Arial"/>
      <family val="2"/>
    </font>
    <font>
      <sz val="10"/>
      <color indexed="9"/>
      <name val="Times New Roman"/>
      <family val="1"/>
    </font>
    <font>
      <sz val="9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top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 vertical="top"/>
    </xf>
    <xf numFmtId="0" fontId="0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 quotePrefix="1">
      <alignment horizontal="left" wrapText="1"/>
    </xf>
    <xf numFmtId="0" fontId="4" fillId="0" borderId="9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88" fontId="6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justify"/>
    </xf>
    <xf numFmtId="3" fontId="1" fillId="0" borderId="15" xfId="0" applyNumberFormat="1" applyFont="1" applyFill="1" applyBorder="1" applyAlignment="1">
      <alignment horizontal="center" vertical="top" wrapText="1"/>
    </xf>
    <xf numFmtId="171" fontId="0" fillId="0" borderId="16" xfId="0" applyNumberFormat="1" applyFont="1" applyFill="1" applyBorder="1" applyAlignment="1">
      <alignment/>
    </xf>
    <xf numFmtId="171" fontId="0" fillId="2" borderId="9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1" fillId="0" borderId="15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9" fontId="0" fillId="0" borderId="14" xfId="0" applyNumberFormat="1" applyBorder="1" applyAlignment="1">
      <alignment horizontal="right"/>
    </xf>
    <xf numFmtId="179" fontId="0" fillId="0" borderId="14" xfId="0" applyNumberFormat="1" applyFill="1" applyBorder="1" applyAlignment="1">
      <alignment/>
    </xf>
    <xf numFmtId="179" fontId="0" fillId="0" borderId="0" xfId="0" applyNumberFormat="1" applyAlignment="1">
      <alignment horizontal="right"/>
    </xf>
    <xf numFmtId="0" fontId="14" fillId="0" borderId="18" xfId="0" applyFont="1" applyFill="1" applyBorder="1" applyAlignment="1">
      <alignment/>
    </xf>
    <xf numFmtId="0" fontId="1" fillId="3" borderId="14" xfId="0" applyFont="1" applyFill="1" applyBorder="1" applyAlignment="1">
      <alignment horizontal="left"/>
    </xf>
    <xf numFmtId="179" fontId="1" fillId="3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top" wrapText="1"/>
    </xf>
    <xf numFmtId="0" fontId="0" fillId="4" borderId="0" xfId="0" applyFill="1" applyAlignment="1">
      <alignment/>
    </xf>
    <xf numFmtId="179" fontId="0" fillId="4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0" fillId="3" borderId="19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179" fontId="1" fillId="3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179" fontId="0" fillId="0" borderId="21" xfId="0" applyNumberFormat="1" applyBorder="1" applyAlignment="1">
      <alignment horizontal="right"/>
    </xf>
    <xf numFmtId="179" fontId="0" fillId="5" borderId="22" xfId="0" applyNumberFormat="1" applyFill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0" fillId="0" borderId="22" xfId="0" applyBorder="1" applyAlignment="1">
      <alignment horizontal="right"/>
    </xf>
    <xf numFmtId="0" fontId="0" fillId="6" borderId="23" xfId="0" applyFill="1" applyBorder="1" applyAlignment="1">
      <alignment horizontal="center" vertical="top" wrapText="1"/>
    </xf>
    <xf numFmtId="0" fontId="9" fillId="6" borderId="24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6" borderId="0" xfId="0" applyFont="1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7" borderId="10" xfId="0" applyNumberFormat="1" applyFill="1" applyBorder="1" applyAlignment="1">
      <alignment/>
    </xf>
    <xf numFmtId="179" fontId="0" fillId="7" borderId="11" xfId="0" applyNumberFormat="1" applyFill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Fill="1" applyBorder="1" applyAlignment="1">
      <alignment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3" borderId="31" xfId="0" applyFont="1" applyFill="1" applyBorder="1" applyAlignment="1">
      <alignment vertical="top"/>
    </xf>
    <xf numFmtId="0" fontId="0" fillId="3" borderId="32" xfId="0" applyFill="1" applyBorder="1" applyAlignment="1">
      <alignment vertical="top"/>
    </xf>
    <xf numFmtId="0" fontId="0" fillId="3" borderId="33" xfId="0" applyFill="1" applyBorder="1" applyAlignment="1">
      <alignment vertical="top"/>
    </xf>
    <xf numFmtId="0" fontId="0" fillId="3" borderId="34" xfId="0" applyFill="1" applyBorder="1" applyAlignment="1">
      <alignment vertical="top"/>
    </xf>
    <xf numFmtId="179" fontId="0" fillId="0" borderId="35" xfId="0" applyNumberFormat="1" applyFill="1" applyBorder="1" applyAlignment="1">
      <alignment/>
    </xf>
    <xf numFmtId="179" fontId="0" fillId="0" borderId="36" xfId="0" applyNumberFormat="1" applyFill="1" applyBorder="1" applyAlignment="1">
      <alignment/>
    </xf>
    <xf numFmtId="179" fontId="0" fillId="0" borderId="27" xfId="0" applyNumberFormat="1" applyFill="1" applyBorder="1" applyAlignment="1">
      <alignment/>
    </xf>
    <xf numFmtId="179" fontId="0" fillId="0" borderId="28" xfId="0" applyNumberFormat="1" applyFill="1" applyBorder="1" applyAlignment="1">
      <alignment/>
    </xf>
    <xf numFmtId="179" fontId="0" fillId="8" borderId="27" xfId="0" applyNumberFormat="1" applyFill="1" applyBorder="1" applyAlignment="1">
      <alignment/>
    </xf>
    <xf numFmtId="179" fontId="0" fillId="6" borderId="28" xfId="0" applyNumberFormat="1" applyFill="1" applyBorder="1" applyAlignment="1">
      <alignment/>
    </xf>
    <xf numFmtId="179" fontId="0" fillId="9" borderId="27" xfId="0" applyNumberFormat="1" applyFill="1" applyBorder="1" applyAlignment="1">
      <alignment/>
    </xf>
    <xf numFmtId="179" fontId="12" fillId="0" borderId="12" xfId="0" applyNumberFormat="1" applyFont="1" applyFill="1" applyBorder="1" applyAlignment="1">
      <alignment vertical="top" wrapText="1"/>
    </xf>
    <xf numFmtId="179" fontId="9" fillId="0" borderId="12" xfId="0" applyNumberFormat="1" applyFont="1" applyFill="1" applyBorder="1" applyAlignment="1">
      <alignment vertical="top" wrapText="1"/>
    </xf>
    <xf numFmtId="179" fontId="16" fillId="0" borderId="12" xfId="0" applyNumberFormat="1" applyFont="1" applyFill="1" applyBorder="1" applyAlignment="1">
      <alignment/>
    </xf>
    <xf numFmtId="0" fontId="0" fillId="3" borderId="31" xfId="0" applyFill="1" applyBorder="1" applyAlignment="1">
      <alignment vertical="top"/>
    </xf>
    <xf numFmtId="179" fontId="0" fillId="3" borderId="32" xfId="0" applyNumberFormat="1" applyFill="1" applyBorder="1" applyAlignment="1">
      <alignment vertical="top"/>
    </xf>
    <xf numFmtId="179" fontId="0" fillId="3" borderId="28" xfId="0" applyNumberFormat="1" applyFill="1" applyBorder="1" applyAlignment="1">
      <alignment/>
    </xf>
    <xf numFmtId="179" fontId="1" fillId="0" borderId="37" xfId="0" applyNumberFormat="1" applyFont="1" applyBorder="1" applyAlignment="1">
      <alignment horizontal="right"/>
    </xf>
    <xf numFmtId="179" fontId="1" fillId="0" borderId="38" xfId="0" applyNumberFormat="1" applyFont="1" applyBorder="1" applyAlignment="1">
      <alignment horizontal="right"/>
    </xf>
    <xf numFmtId="179" fontId="1" fillId="0" borderId="39" xfId="0" applyNumberFormat="1" applyFont="1" applyBorder="1" applyAlignment="1">
      <alignment horizontal="right"/>
    </xf>
    <xf numFmtId="179" fontId="1" fillId="5" borderId="20" xfId="0" applyNumberFormat="1" applyFont="1" applyFill="1" applyBorder="1" applyAlignment="1">
      <alignment horizontal="right"/>
    </xf>
    <xf numFmtId="179" fontId="0" fillId="0" borderId="25" xfId="0" applyNumberFormat="1" applyBorder="1" applyAlignment="1">
      <alignment/>
    </xf>
    <xf numFmtId="0" fontId="0" fillId="0" borderId="40" xfId="0" applyBorder="1" applyAlignment="1">
      <alignment horizontal="right"/>
    </xf>
    <xf numFmtId="179" fontId="0" fillId="0" borderId="41" xfId="0" applyNumberFormat="1" applyFill="1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26" xfId="0" applyNumberFormat="1" applyFill="1" applyBorder="1" applyAlignment="1">
      <alignment/>
    </xf>
    <xf numFmtId="179" fontId="0" fillId="0" borderId="42" xfId="0" applyNumberFormat="1" applyFill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0" fillId="0" borderId="43" xfId="0" applyBorder="1" applyAlignment="1">
      <alignment horizontal="right"/>
    </xf>
    <xf numFmtId="179" fontId="0" fillId="0" borderId="44" xfId="0" applyNumberFormat="1" applyBorder="1" applyAlignment="1">
      <alignment/>
    </xf>
    <xf numFmtId="179" fontId="0" fillId="0" borderId="23" xfId="0" applyNumberFormat="1" applyFill="1" applyBorder="1" applyAlignment="1">
      <alignment/>
    </xf>
    <xf numFmtId="179" fontId="0" fillId="0" borderId="24" xfId="0" applyNumberFormat="1" applyFill="1" applyBorder="1" applyAlignment="1">
      <alignment/>
    </xf>
    <xf numFmtId="179" fontId="0" fillId="0" borderId="45" xfId="0" applyNumberFormat="1" applyFill="1" applyBorder="1" applyAlignment="1">
      <alignment/>
    </xf>
    <xf numFmtId="0" fontId="15" fillId="0" borderId="46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18" xfId="0" applyFont="1" applyBorder="1" applyAlignment="1">
      <alignment/>
    </xf>
    <xf numFmtId="0" fontId="1" fillId="0" borderId="46" xfId="0" applyFont="1" applyFill="1" applyBorder="1" applyAlignment="1" quotePrefix="1">
      <alignment horizontal="left"/>
    </xf>
    <xf numFmtId="171" fontId="0" fillId="0" borderId="0" xfId="0" applyNumberFormat="1" applyAlignment="1">
      <alignment vertical="top" wrapText="1"/>
    </xf>
    <xf numFmtId="179" fontId="0" fillId="10" borderId="28" xfId="0" applyNumberFormat="1" applyFill="1" applyBorder="1" applyAlignment="1">
      <alignment/>
    </xf>
    <xf numFmtId="179" fontId="0" fillId="3" borderId="27" xfId="0" applyNumberFormat="1" applyFill="1" applyBorder="1" applyAlignment="1">
      <alignment/>
    </xf>
    <xf numFmtId="171" fontId="20" fillId="0" borderId="0" xfId="0" applyNumberFormat="1" applyFont="1" applyAlignment="1">
      <alignment vertical="top" wrapText="1"/>
    </xf>
    <xf numFmtId="179" fontId="0" fillId="10" borderId="27" xfId="0" applyNumberFormat="1" applyFill="1" applyBorder="1" applyAlignment="1">
      <alignment/>
    </xf>
    <xf numFmtId="0" fontId="0" fillId="11" borderId="0" xfId="0" applyFill="1" applyAlignment="1">
      <alignment/>
    </xf>
    <xf numFmtId="0" fontId="13" fillId="11" borderId="0" xfId="0" applyFont="1" applyFill="1" applyAlignment="1">
      <alignment horizontal="justify"/>
    </xf>
    <xf numFmtId="179" fontId="0" fillId="6" borderId="27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5" xfId="0" applyBorder="1" applyAlignment="1" quotePrefix="1">
      <alignment horizontal="left"/>
    </xf>
    <xf numFmtId="4" fontId="0" fillId="10" borderId="15" xfId="0" applyNumberFormat="1" applyFill="1" applyBorder="1" applyAlignment="1">
      <alignment/>
    </xf>
    <xf numFmtId="0" fontId="5" fillId="0" borderId="48" xfId="0" applyFont="1" applyBorder="1" applyAlignment="1">
      <alignment horizontal="centerContinuous"/>
    </xf>
    <xf numFmtId="4" fontId="0" fillId="0" borderId="49" xfId="0" applyNumberFormat="1" applyBorder="1" applyAlignment="1">
      <alignment horizontal="centerContinuous"/>
    </xf>
    <xf numFmtId="4" fontId="0" fillId="0" borderId="50" xfId="0" applyNumberFormat="1" applyBorder="1" applyAlignment="1">
      <alignment horizontal="centerContinuous"/>
    </xf>
    <xf numFmtId="0" fontId="0" fillId="2" borderId="0" xfId="0" applyFill="1" applyAlignment="1">
      <alignment/>
    </xf>
    <xf numFmtId="4" fontId="1" fillId="0" borderId="51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/>
    </xf>
    <xf numFmtId="0" fontId="0" fillId="0" borderId="46" xfId="0" applyBorder="1" applyAlignment="1">
      <alignment/>
    </xf>
    <xf numFmtId="0" fontId="24" fillId="12" borderId="15" xfId="0" applyFont="1" applyFill="1" applyBorder="1" applyAlignment="1">
      <alignment/>
    </xf>
    <xf numFmtId="4" fontId="25" fillId="12" borderId="15" xfId="0" applyNumberFormat="1" applyFont="1" applyFill="1" applyBorder="1" applyAlignment="1">
      <alignment/>
    </xf>
    <xf numFmtId="4" fontId="25" fillId="12" borderId="48" xfId="0" applyNumberFormat="1" applyFont="1" applyFill="1" applyBorder="1" applyAlignment="1">
      <alignment/>
    </xf>
    <xf numFmtId="4" fontId="0" fillId="0" borderId="48" xfId="0" applyNumberFormat="1" applyBorder="1" applyAlignment="1">
      <alignment/>
    </xf>
    <xf numFmtId="4" fontId="0" fillId="10" borderId="48" xfId="0" applyNumberFormat="1" applyFill="1" applyBorder="1" applyAlignment="1">
      <alignment/>
    </xf>
    <xf numFmtId="4" fontId="25" fillId="12" borderId="14" xfId="0" applyNumberFormat="1" applyFont="1" applyFill="1" applyBorder="1" applyAlignment="1">
      <alignment/>
    </xf>
    <xf numFmtId="188" fontId="0" fillId="0" borderId="14" xfId="0" applyNumberFormat="1" applyBorder="1" applyAlignment="1">
      <alignment/>
    </xf>
    <xf numFmtId="188" fontId="25" fillId="12" borderId="14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1" fillId="0" borderId="14" xfId="0" applyFont="1" applyBorder="1" applyAlignment="1" quotePrefix="1">
      <alignment horizontal="left"/>
    </xf>
    <xf numFmtId="4" fontId="1" fillId="0" borderId="14" xfId="0" applyNumberFormat="1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21" fillId="13" borderId="46" xfId="0" applyFont="1" applyFill="1" applyBorder="1" applyAlignment="1">
      <alignment/>
    </xf>
    <xf numFmtId="4" fontId="6" fillId="13" borderId="9" xfId="0" applyNumberFormat="1" applyFont="1" applyFill="1" applyBorder="1" applyAlignment="1">
      <alignment/>
    </xf>
    <xf numFmtId="4" fontId="6" fillId="13" borderId="52" xfId="0" applyNumberFormat="1" applyFont="1" applyFill="1" applyBorder="1" applyAlignment="1">
      <alignment/>
    </xf>
    <xf numFmtId="0" fontId="0" fillId="13" borderId="47" xfId="0" applyFill="1" applyBorder="1" applyAlignment="1">
      <alignment/>
    </xf>
    <xf numFmtId="0" fontId="22" fillId="13" borderId="47" xfId="0" applyFont="1" applyFill="1" applyBorder="1" applyAlignment="1">
      <alignment/>
    </xf>
    <xf numFmtId="0" fontId="23" fillId="13" borderId="47" xfId="0" applyFont="1" applyFill="1" applyBorder="1" applyAlignment="1" quotePrefix="1">
      <alignment horizontal="left"/>
    </xf>
    <xf numFmtId="0" fontId="7" fillId="13" borderId="47" xfId="0" applyFont="1" applyFill="1" applyBorder="1" applyAlignment="1">
      <alignment/>
    </xf>
    <xf numFmtId="0" fontId="7" fillId="13" borderId="47" xfId="0" applyFont="1" applyFill="1" applyBorder="1" applyAlignment="1" quotePrefix="1">
      <alignment horizontal="left"/>
    </xf>
    <xf numFmtId="0" fontId="0" fillId="13" borderId="18" xfId="0" applyFill="1" applyBorder="1" applyAlignment="1">
      <alignment/>
    </xf>
    <xf numFmtId="4" fontId="6" fillId="13" borderId="8" xfId="0" applyNumberFormat="1" applyFont="1" applyFill="1" applyBorder="1" applyAlignment="1">
      <alignment/>
    </xf>
    <xf numFmtId="0" fontId="21" fillId="14" borderId="47" xfId="0" applyFont="1" applyFill="1" applyBorder="1" applyAlignment="1">
      <alignment/>
    </xf>
    <xf numFmtId="4" fontId="6" fillId="14" borderId="9" xfId="0" applyNumberFormat="1" applyFont="1" applyFill="1" applyBorder="1" applyAlignment="1">
      <alignment/>
    </xf>
    <xf numFmtId="0" fontId="0" fillId="14" borderId="47" xfId="0" applyFill="1" applyBorder="1" applyAlignment="1">
      <alignment/>
    </xf>
    <xf numFmtId="0" fontId="22" fillId="14" borderId="47" xfId="0" applyFont="1" applyFill="1" applyBorder="1" applyAlignment="1">
      <alignment/>
    </xf>
    <xf numFmtId="0" fontId="7" fillId="14" borderId="47" xfId="0" applyFont="1" applyFill="1" applyBorder="1" applyAlignment="1" quotePrefix="1">
      <alignment horizontal="left"/>
    </xf>
    <xf numFmtId="0" fontId="7" fillId="14" borderId="47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22" fillId="14" borderId="47" xfId="0" applyFont="1" applyFill="1" applyBorder="1" applyAlignment="1">
      <alignment horizontal="left" vertical="center" wrapText="1"/>
    </xf>
    <xf numFmtId="0" fontId="7" fillId="14" borderId="47" xfId="0" applyFont="1" applyFill="1" applyBorder="1" applyAlignment="1" quotePrefix="1">
      <alignment horizontal="left"/>
    </xf>
    <xf numFmtId="0" fontId="7" fillId="14" borderId="18" xfId="0" applyFont="1" applyFill="1" applyBorder="1" applyAlignment="1">
      <alignment/>
    </xf>
    <xf numFmtId="4" fontId="6" fillId="14" borderId="8" xfId="0" applyNumberFormat="1" applyFont="1" applyFill="1" applyBorder="1" applyAlignment="1">
      <alignment/>
    </xf>
    <xf numFmtId="0" fontId="7" fillId="0" borderId="47" xfId="0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0" fontId="22" fillId="13" borderId="47" xfId="0" applyFont="1" applyFill="1" applyBorder="1" applyAlignment="1" quotePrefix="1">
      <alignment horizontal="left"/>
    </xf>
    <xf numFmtId="4" fontId="0" fillId="13" borderId="8" xfId="0" applyNumberFormat="1" applyFill="1" applyBorder="1" applyAlignment="1">
      <alignment/>
    </xf>
    <xf numFmtId="0" fontId="27" fillId="0" borderId="0" xfId="0" applyFont="1" applyAlignment="1">
      <alignment/>
    </xf>
    <xf numFmtId="0" fontId="28" fillId="0" borderId="46" xfId="0" applyFont="1" applyFill="1" applyBorder="1" applyAlignment="1">
      <alignment/>
    </xf>
    <xf numFmtId="0" fontId="28" fillId="0" borderId="53" xfId="0" applyFont="1" applyFill="1" applyBorder="1" applyAlignment="1">
      <alignment/>
    </xf>
    <xf numFmtId="0" fontId="28" fillId="0" borderId="54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47" xfId="0" applyFont="1" applyFill="1" applyBorder="1" applyAlignment="1">
      <alignment/>
    </xf>
    <xf numFmtId="0" fontId="28" fillId="0" borderId="55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horizontal="centerContinuous"/>
    </xf>
    <xf numFmtId="9" fontId="28" fillId="0" borderId="0" xfId="22" applyFont="1" applyFill="1" applyAlignment="1">
      <alignment/>
    </xf>
    <xf numFmtId="0" fontId="28" fillId="0" borderId="0" xfId="0" applyFont="1" applyFill="1" applyBorder="1" applyAlignment="1" quotePrefix="1">
      <alignment/>
    </xf>
    <xf numFmtId="0" fontId="28" fillId="0" borderId="47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Border="1" applyAlignment="1">
      <alignment/>
    </xf>
    <xf numFmtId="0" fontId="28" fillId="0" borderId="55" xfId="0" applyFont="1" applyFill="1" applyBorder="1" applyAlignment="1">
      <alignment horizontal="center"/>
    </xf>
    <xf numFmtId="0" fontId="32" fillId="0" borderId="55" xfId="0" applyFont="1" applyFill="1" applyBorder="1" applyAlignment="1">
      <alignment/>
    </xf>
    <xf numFmtId="0" fontId="32" fillId="0" borderId="0" xfId="0" applyFont="1" applyFill="1" applyAlignment="1">
      <alignment/>
    </xf>
    <xf numFmtId="0" fontId="28" fillId="0" borderId="18" xfId="0" applyFont="1" applyFill="1" applyBorder="1" applyAlignment="1">
      <alignment/>
    </xf>
    <xf numFmtId="0" fontId="28" fillId="0" borderId="56" xfId="0" applyFont="1" applyFill="1" applyBorder="1" applyAlignment="1">
      <alignment/>
    </xf>
    <xf numFmtId="0" fontId="28" fillId="0" borderId="18" xfId="0" applyFont="1" applyFill="1" applyBorder="1" applyAlignment="1" quotePrefix="1">
      <alignment horizontal="centerContinuous" vertical="top" wrapText="1"/>
    </xf>
    <xf numFmtId="0" fontId="28" fillId="0" borderId="57" xfId="0" applyFont="1" applyFill="1" applyBorder="1" applyAlignment="1">
      <alignment horizontal="centerContinuous" vertical="top" wrapText="1"/>
    </xf>
    <xf numFmtId="0" fontId="28" fillId="0" borderId="56" xfId="0" applyFont="1" applyFill="1" applyBorder="1" applyAlignment="1">
      <alignment horizontal="centerContinuous" vertical="top" wrapText="1"/>
    </xf>
    <xf numFmtId="0" fontId="28" fillId="0" borderId="55" xfId="0" applyFont="1" applyFill="1" applyBorder="1" applyAlignment="1">
      <alignment horizontal="centerContinuous" vertical="justify"/>
    </xf>
    <xf numFmtId="0" fontId="28" fillId="0" borderId="0" xfId="0" applyFont="1" applyFill="1" applyAlignment="1">
      <alignment horizontal="centerContinuous" vertical="justify"/>
    </xf>
    <xf numFmtId="0" fontId="28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Continuous"/>
    </xf>
    <xf numFmtId="3" fontId="31" fillId="0" borderId="15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196" fontId="31" fillId="0" borderId="15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/>
    </xf>
    <xf numFmtId="0" fontId="28" fillId="0" borderId="3" xfId="0" applyFont="1" applyFill="1" applyBorder="1" applyAlignment="1">
      <alignment/>
    </xf>
    <xf numFmtId="0" fontId="28" fillId="0" borderId="4" xfId="0" applyFont="1" applyFill="1" applyBorder="1" applyAlignment="1">
      <alignment/>
    </xf>
    <xf numFmtId="188" fontId="28" fillId="0" borderId="0" xfId="0" applyNumberFormat="1" applyFont="1" applyFill="1" applyBorder="1" applyAlignment="1">
      <alignment/>
    </xf>
    <xf numFmtId="0" fontId="28" fillId="0" borderId="5" xfId="0" applyFont="1" applyFill="1" applyBorder="1" applyAlignment="1">
      <alignment/>
    </xf>
    <xf numFmtId="188" fontId="28" fillId="0" borderId="57" xfId="0" applyNumberFormat="1" applyFont="1" applyFill="1" applyBorder="1" applyAlignment="1">
      <alignment horizontal="centerContinuous"/>
    </xf>
    <xf numFmtId="0" fontId="28" fillId="0" borderId="57" xfId="0" applyFont="1" applyFill="1" applyBorder="1" applyAlignment="1">
      <alignment horizontal="centerContinuous"/>
    </xf>
    <xf numFmtId="188" fontId="28" fillId="0" borderId="56" xfId="0" applyNumberFormat="1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188" fontId="28" fillId="0" borderId="0" xfId="0" applyNumberFormat="1" applyFont="1" applyFill="1" applyBorder="1" applyAlignment="1">
      <alignment horizontal="centerContinuous"/>
    </xf>
    <xf numFmtId="0" fontId="31" fillId="0" borderId="46" xfId="0" applyFont="1" applyFill="1" applyBorder="1" applyAlignment="1" quotePrefix="1">
      <alignment horizontal="left"/>
    </xf>
    <xf numFmtId="188" fontId="31" fillId="0" borderId="15" xfId="0" applyNumberFormat="1" applyFont="1" applyFill="1" applyBorder="1" applyAlignment="1">
      <alignment horizontal="center" vertical="top" wrapText="1"/>
    </xf>
    <xf numFmtId="0" fontId="28" fillId="0" borderId="52" xfId="0" applyFont="1" applyFill="1" applyBorder="1" applyAlignment="1">
      <alignment/>
    </xf>
    <xf numFmtId="188" fontId="31" fillId="0" borderId="50" xfId="0" applyNumberFormat="1" applyFont="1" applyFill="1" applyBorder="1" applyAlignment="1">
      <alignment horizontal="center" vertical="top" wrapText="1"/>
    </xf>
    <xf numFmtId="0" fontId="30" fillId="0" borderId="47" xfId="0" applyFont="1" applyFill="1" applyBorder="1" applyAlignment="1">
      <alignment/>
    </xf>
    <xf numFmtId="188" fontId="28" fillId="0" borderId="9" xfId="0" applyNumberFormat="1" applyFont="1" applyFill="1" applyBorder="1" applyAlignment="1">
      <alignment horizontal="centerContinuous"/>
    </xf>
    <xf numFmtId="188" fontId="28" fillId="0" borderId="55" xfId="0" applyNumberFormat="1" applyFont="1" applyFill="1" applyBorder="1" applyAlignment="1" quotePrefix="1">
      <alignment horizontal="center"/>
    </xf>
    <xf numFmtId="0" fontId="30" fillId="0" borderId="9" xfId="0" applyFont="1" applyFill="1" applyBorder="1" applyAlignment="1" quotePrefix="1">
      <alignment horizontal="left"/>
    </xf>
    <xf numFmtId="188" fontId="28" fillId="0" borderId="52" xfId="0" applyNumberFormat="1" applyFont="1" applyFill="1" applyBorder="1" applyAlignment="1">
      <alignment horizontal="centerContinuous"/>
    </xf>
    <xf numFmtId="0" fontId="32" fillId="0" borderId="47" xfId="0" applyFont="1" applyFill="1" applyBorder="1" applyAlignment="1">
      <alignment/>
    </xf>
    <xf numFmtId="171" fontId="28" fillId="0" borderId="9" xfId="0" applyNumberFormat="1" applyFont="1" applyFill="1" applyBorder="1" applyAlignment="1">
      <alignment/>
    </xf>
    <xf numFmtId="171" fontId="28" fillId="0" borderId="55" xfId="0" applyNumberFormat="1" applyFont="1" applyFill="1" applyBorder="1" applyAlignment="1">
      <alignment/>
    </xf>
    <xf numFmtId="171" fontId="28" fillId="0" borderId="0" xfId="0" applyNumberFormat="1" applyFont="1" applyFill="1" applyBorder="1" applyAlignment="1">
      <alignment/>
    </xf>
    <xf numFmtId="171" fontId="32" fillId="0" borderId="9" xfId="0" applyNumberFormat="1" applyFont="1" applyFill="1" applyBorder="1" applyAlignment="1">
      <alignment/>
    </xf>
    <xf numFmtId="171" fontId="28" fillId="0" borderId="9" xfId="0" applyNumberFormat="1" applyFont="1" applyFill="1" applyBorder="1" applyAlignment="1" quotePrefix="1">
      <alignment horizontal="fill"/>
    </xf>
    <xf numFmtId="0" fontId="28" fillId="0" borderId="47" xfId="0" applyFont="1" applyFill="1" applyBorder="1" applyAlignment="1" quotePrefix="1">
      <alignment horizontal="left"/>
    </xf>
    <xf numFmtId="171" fontId="28" fillId="0" borderId="16" xfId="0" applyNumberFormat="1" applyFont="1" applyFill="1" applyBorder="1" applyAlignment="1" quotePrefix="1">
      <alignment/>
    </xf>
    <xf numFmtId="171" fontId="28" fillId="0" borderId="16" xfId="0" applyNumberFormat="1" applyFont="1" applyFill="1" applyBorder="1" applyAlignment="1">
      <alignment/>
    </xf>
    <xf numFmtId="171" fontId="28" fillId="0" borderId="9" xfId="0" applyNumberFormat="1" applyFont="1" applyFill="1" applyBorder="1" applyAlignment="1" quotePrefix="1">
      <alignment horizontal="left"/>
    </xf>
    <xf numFmtId="171" fontId="31" fillId="0" borderId="58" xfId="0" applyNumberFormat="1" applyFont="1" applyFill="1" applyBorder="1" applyAlignment="1" quotePrefix="1">
      <alignment/>
    </xf>
    <xf numFmtId="171" fontId="28" fillId="0" borderId="9" xfId="0" applyNumberFormat="1" applyFont="1" applyFill="1" applyBorder="1" applyAlignment="1">
      <alignment/>
    </xf>
    <xf numFmtId="171" fontId="28" fillId="0" borderId="58" xfId="0" applyNumberFormat="1" applyFont="1" applyFill="1" applyBorder="1" applyAlignment="1">
      <alignment/>
    </xf>
    <xf numFmtId="171" fontId="28" fillId="0" borderId="47" xfId="0" applyNumberFormat="1" applyFont="1" applyFill="1" applyBorder="1" applyAlignment="1" quotePrefix="1">
      <alignment horizontal="fill"/>
    </xf>
    <xf numFmtId="0" fontId="28" fillId="0" borderId="9" xfId="0" applyFont="1" applyFill="1" applyBorder="1" applyAlignment="1">
      <alignment/>
    </xf>
    <xf numFmtId="188" fontId="28" fillId="0" borderId="9" xfId="0" applyNumberFormat="1" applyFont="1" applyFill="1" applyBorder="1" applyAlignment="1">
      <alignment/>
    </xf>
    <xf numFmtId="0" fontId="28" fillId="0" borderId="47" xfId="0" applyFont="1" applyFill="1" applyBorder="1" applyAlignment="1">
      <alignment horizontal="left"/>
    </xf>
    <xf numFmtId="171" fontId="32" fillId="0" borderId="9" xfId="0" applyNumberFormat="1" applyFont="1" applyFill="1" applyBorder="1" applyAlignment="1" quotePrefix="1">
      <alignment horizontal="left"/>
    </xf>
    <xf numFmtId="171" fontId="33" fillId="0" borderId="9" xfId="0" applyNumberFormat="1" applyFont="1" applyFill="1" applyBorder="1" applyAlignment="1">
      <alignment/>
    </xf>
    <xf numFmtId="171" fontId="28" fillId="0" borderId="59" xfId="0" applyNumberFormat="1" applyFont="1" applyFill="1" applyBorder="1" applyAlignment="1">
      <alignment/>
    </xf>
    <xf numFmtId="188" fontId="28" fillId="0" borderId="52" xfId="0" applyNumberFormat="1" applyFont="1" applyFill="1" applyBorder="1" applyAlignment="1">
      <alignment/>
    </xf>
    <xf numFmtId="188" fontId="28" fillId="0" borderId="54" xfId="0" applyNumberFormat="1" applyFont="1" applyFill="1" applyBorder="1" applyAlignment="1">
      <alignment/>
    </xf>
    <xf numFmtId="0" fontId="32" fillId="0" borderId="47" xfId="0" applyFont="1" applyFill="1" applyBorder="1" applyAlignment="1" quotePrefix="1">
      <alignment horizontal="left"/>
    </xf>
    <xf numFmtId="171" fontId="31" fillId="0" borderId="60" xfId="0" applyNumberFormat="1" applyFont="1" applyFill="1" applyBorder="1" applyAlignment="1" quotePrefix="1">
      <alignment/>
    </xf>
    <xf numFmtId="171" fontId="31" fillId="0" borderId="9" xfId="0" applyNumberFormat="1" applyFont="1" applyFill="1" applyBorder="1" applyAlignment="1" quotePrefix="1">
      <alignment/>
    </xf>
    <xf numFmtId="171" fontId="31" fillId="0" borderId="61" xfId="0" applyNumberFormat="1" applyFont="1" applyFill="1" applyBorder="1" applyAlignment="1" quotePrefix="1">
      <alignment/>
    </xf>
    <xf numFmtId="0" fontId="33" fillId="0" borderId="18" xfId="0" applyFont="1" applyFill="1" applyBorder="1" applyAlignment="1">
      <alignment/>
    </xf>
    <xf numFmtId="171" fontId="31" fillId="0" borderId="62" xfId="0" applyNumberFormat="1" applyFont="1" applyFill="1" applyBorder="1" applyAlignment="1" quotePrefix="1">
      <alignment/>
    </xf>
    <xf numFmtId="171" fontId="33" fillId="0" borderId="8" xfId="0" applyNumberFormat="1" applyFont="1" applyFill="1" applyBorder="1" applyAlignment="1">
      <alignment/>
    </xf>
    <xf numFmtId="171" fontId="31" fillId="0" borderId="63" xfId="0" applyNumberFormat="1" applyFont="1" applyFill="1" applyBorder="1" applyAlignment="1" quotePrefix="1">
      <alignment/>
    </xf>
    <xf numFmtId="188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Continuous" vertical="center"/>
    </xf>
    <xf numFmtId="188" fontId="28" fillId="0" borderId="11" xfId="0" applyNumberFormat="1" applyFont="1" applyFill="1" applyBorder="1" applyAlignment="1">
      <alignment horizontal="centerContinuous" vertical="center"/>
    </xf>
    <xf numFmtId="0" fontId="28" fillId="0" borderId="11" xfId="0" applyFont="1" applyFill="1" applyBorder="1" applyAlignment="1">
      <alignment horizontal="centerContinuous" vertical="center"/>
    </xf>
    <xf numFmtId="188" fontId="28" fillId="0" borderId="12" xfId="0" applyNumberFormat="1" applyFont="1" applyFill="1" applyBorder="1" applyAlignment="1">
      <alignment horizontal="centerContinuous" vertical="center"/>
    </xf>
    <xf numFmtId="0" fontId="28" fillId="0" borderId="6" xfId="0" applyFont="1" applyFill="1" applyBorder="1" applyAlignment="1">
      <alignment/>
    </xf>
    <xf numFmtId="0" fontId="28" fillId="0" borderId="7" xfId="0" applyFont="1" applyFill="1" applyBorder="1" applyAlignment="1">
      <alignment/>
    </xf>
    <xf numFmtId="188" fontId="28" fillId="0" borderId="7" xfId="0" applyNumberFormat="1" applyFont="1" applyFill="1" applyBorder="1" applyAlignment="1">
      <alignment/>
    </xf>
    <xf numFmtId="0" fontId="33" fillId="0" borderId="13" xfId="0" applyFont="1" applyFill="1" applyBorder="1" applyAlignment="1">
      <alignment horizontal="right"/>
    </xf>
    <xf numFmtId="171" fontId="32" fillId="0" borderId="9" xfId="0" applyNumberFormat="1" applyFont="1" applyFill="1" applyBorder="1" applyAlignment="1">
      <alignment horizontal="left"/>
    </xf>
    <xf numFmtId="0" fontId="33" fillId="0" borderId="9" xfId="0" applyFont="1" applyFill="1" applyBorder="1" applyAlignment="1">
      <alignment/>
    </xf>
    <xf numFmtId="0" fontId="32" fillId="0" borderId="9" xfId="0" applyFont="1" applyFill="1" applyBorder="1" applyAlignment="1">
      <alignment/>
    </xf>
    <xf numFmtId="0" fontId="32" fillId="0" borderId="47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Continuous" vertical="center"/>
    </xf>
    <xf numFmtId="0" fontId="32" fillId="0" borderId="18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3" fontId="31" fillId="0" borderId="15" xfId="0" applyNumberFormat="1" applyFont="1" applyFill="1" applyBorder="1" applyAlignment="1">
      <alignment horizontal="center" vertical="top" wrapText="1"/>
    </xf>
    <xf numFmtId="188" fontId="28" fillId="0" borderId="15" xfId="0" applyNumberFormat="1" applyFont="1" applyFill="1" applyBorder="1" applyAlignment="1" quotePrefix="1">
      <alignment horizontal="center"/>
    </xf>
    <xf numFmtId="0" fontId="31" fillId="0" borderId="4" xfId="0" applyFont="1" applyFill="1" applyBorder="1" applyAlignment="1">
      <alignment/>
    </xf>
    <xf numFmtId="0" fontId="31" fillId="0" borderId="5" xfId="0" applyFont="1" applyFill="1" applyBorder="1" applyAlignment="1">
      <alignment/>
    </xf>
    <xf numFmtId="0" fontId="31" fillId="0" borderId="0" xfId="0" applyFont="1" applyFill="1" applyAlignment="1">
      <alignment/>
    </xf>
    <xf numFmtId="0" fontId="28" fillId="0" borderId="47" xfId="0" applyFont="1" applyFill="1" applyBorder="1" applyAlignment="1" quotePrefix="1">
      <alignment horizontal="left" wrapText="1"/>
    </xf>
    <xf numFmtId="0" fontId="28" fillId="0" borderId="9" xfId="0" applyFont="1" applyFill="1" applyBorder="1" applyAlignment="1" quotePrefix="1">
      <alignment horizontal="left"/>
    </xf>
    <xf numFmtId="0" fontId="31" fillId="0" borderId="47" xfId="0" applyFont="1" applyFill="1" applyBorder="1" applyAlignment="1">
      <alignment horizontal="left"/>
    </xf>
    <xf numFmtId="0" fontId="31" fillId="0" borderId="47" xfId="0" applyFont="1" applyFill="1" applyBorder="1" applyAlignment="1">
      <alignment/>
    </xf>
    <xf numFmtId="0" fontId="31" fillId="0" borderId="47" xfId="0" applyFont="1" applyFill="1" applyBorder="1" applyAlignment="1" quotePrefix="1">
      <alignment horizontal="left"/>
    </xf>
    <xf numFmtId="0" fontId="33" fillId="0" borderId="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88" fontId="31" fillId="0" borderId="0" xfId="0" applyNumberFormat="1" applyFont="1" applyFill="1" applyBorder="1" applyAlignment="1" quotePrefix="1">
      <alignment horizontal="fill"/>
    </xf>
    <xf numFmtId="188" fontId="32" fillId="0" borderId="16" xfId="0" applyNumberFormat="1" applyFont="1" applyFill="1" applyBorder="1" applyAlignment="1" quotePrefix="1">
      <alignment/>
    </xf>
    <xf numFmtId="188" fontId="32" fillId="0" borderId="9" xfId="0" applyNumberFormat="1" applyFont="1" applyFill="1" applyBorder="1" applyAlignment="1">
      <alignment/>
    </xf>
    <xf numFmtId="188" fontId="32" fillId="0" borderId="55" xfId="0" applyNumberFormat="1" applyFont="1" applyFill="1" applyBorder="1" applyAlignment="1">
      <alignment/>
    </xf>
    <xf numFmtId="188" fontId="33" fillId="0" borderId="58" xfId="0" applyNumberFormat="1" applyFont="1" applyFill="1" applyBorder="1" applyAlignment="1" quotePrefix="1">
      <alignment/>
    </xf>
    <xf numFmtId="188" fontId="33" fillId="0" borderId="16" xfId="0" applyNumberFormat="1" applyFont="1" applyFill="1" applyBorder="1" applyAlignment="1" quotePrefix="1">
      <alignment/>
    </xf>
    <xf numFmtId="188" fontId="33" fillId="0" borderId="62" xfId="0" applyNumberFormat="1" applyFont="1" applyFill="1" applyBorder="1" applyAlignment="1" quotePrefix="1">
      <alignment/>
    </xf>
    <xf numFmtId="0" fontId="39" fillId="0" borderId="4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88" fontId="39" fillId="0" borderId="0" xfId="0" applyNumberFormat="1" applyFont="1" applyFill="1" applyBorder="1" applyAlignment="1">
      <alignment/>
    </xf>
    <xf numFmtId="188" fontId="40" fillId="0" borderId="0" xfId="0" applyNumberFormat="1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9" fillId="0" borderId="0" xfId="0" applyFont="1" applyFill="1" applyAlignment="1">
      <alignment/>
    </xf>
    <xf numFmtId="188" fontId="31" fillId="0" borderId="48" xfId="0" applyNumberFormat="1" applyFont="1" applyFill="1" applyBorder="1" applyAlignment="1">
      <alignment horizontal="centerContinuous"/>
    </xf>
    <xf numFmtId="188" fontId="31" fillId="0" borderId="49" xfId="0" applyNumberFormat="1" applyFont="1" applyFill="1" applyBorder="1" applyAlignment="1">
      <alignment horizontal="centerContinuous"/>
    </xf>
    <xf numFmtId="0" fontId="40" fillId="0" borderId="8" xfId="0" applyFont="1" applyFill="1" applyBorder="1" applyAlignment="1">
      <alignment horizontal="centerContinuous" vertical="center" wrapText="1"/>
    </xf>
    <xf numFmtId="188" fontId="31" fillId="0" borderId="15" xfId="0" applyNumberFormat="1" applyFont="1" applyFill="1" applyBorder="1" applyAlignment="1">
      <alignment horizontal="center" vertical="center" wrapText="1"/>
    </xf>
    <xf numFmtId="179" fontId="39" fillId="0" borderId="22" xfId="0" applyNumberFormat="1" applyFont="1" applyFill="1" applyBorder="1" applyAlignment="1">
      <alignment/>
    </xf>
    <xf numFmtId="179" fontId="39" fillId="0" borderId="36" xfId="0" applyNumberFormat="1" applyFont="1" applyFill="1" applyBorder="1" applyAlignment="1">
      <alignment/>
    </xf>
    <xf numFmtId="179" fontId="39" fillId="0" borderId="21" xfId="0" applyNumberFormat="1" applyFont="1" applyFill="1" applyBorder="1" applyAlignment="1">
      <alignment/>
    </xf>
    <xf numFmtId="179" fontId="39" fillId="0" borderId="30" xfId="0" applyNumberFormat="1" applyFont="1" applyFill="1" applyBorder="1" applyAlignment="1">
      <alignment/>
    </xf>
    <xf numFmtId="0" fontId="40" fillId="0" borderId="64" xfId="0" applyFont="1" applyFill="1" applyBorder="1" applyAlignment="1">
      <alignment horizontal="left" wrapText="1"/>
    </xf>
    <xf numFmtId="179" fontId="39" fillId="0" borderId="65" xfId="0" applyNumberFormat="1" applyFont="1" applyFill="1" applyBorder="1" applyAlignment="1">
      <alignment/>
    </xf>
    <xf numFmtId="179" fontId="39" fillId="0" borderId="15" xfId="0" applyNumberFormat="1" applyFont="1" applyFill="1" applyBorder="1" applyAlignment="1">
      <alignment/>
    </xf>
    <xf numFmtId="0" fontId="40" fillId="0" borderId="64" xfId="0" applyFont="1" applyFill="1" applyBorder="1" applyAlignment="1">
      <alignment horizontal="left" vertical="top" wrapText="1"/>
    </xf>
    <xf numFmtId="179" fontId="39" fillId="0" borderId="14" xfId="0" applyNumberFormat="1" applyFont="1" applyFill="1" applyBorder="1" applyAlignment="1">
      <alignment/>
    </xf>
    <xf numFmtId="179" fontId="39" fillId="0" borderId="28" xfId="0" applyNumberFormat="1" applyFont="1" applyFill="1" applyBorder="1" applyAlignment="1">
      <alignment/>
    </xf>
    <xf numFmtId="0" fontId="40" fillId="0" borderId="64" xfId="0" applyFont="1" applyFill="1" applyBorder="1" applyAlignment="1" quotePrefix="1">
      <alignment horizontal="left" wrapText="1"/>
    </xf>
    <xf numFmtId="0" fontId="40" fillId="0" borderId="47" xfId="0" applyFont="1" applyFill="1" applyBorder="1" applyAlignment="1">
      <alignment horizontal="left" wrapText="1"/>
    </xf>
    <xf numFmtId="179" fontId="39" fillId="0" borderId="66" xfId="0" applyNumberFormat="1" applyFont="1" applyFill="1" applyBorder="1" applyAlignment="1">
      <alignment/>
    </xf>
    <xf numFmtId="179" fontId="39" fillId="0" borderId="30" xfId="0" applyNumberFormat="1" applyFont="1" applyFill="1" applyBorder="1" applyAlignment="1">
      <alignment horizontal="left"/>
    </xf>
    <xf numFmtId="188" fontId="39" fillId="0" borderId="0" xfId="0" applyNumberFormat="1" applyFont="1" applyFill="1" applyAlignment="1">
      <alignment/>
    </xf>
    <xf numFmtId="0" fontId="28" fillId="0" borderId="48" xfId="0" applyFont="1" applyFill="1" applyBorder="1" applyAlignment="1">
      <alignment horizontal="centerContinuous" vertical="center"/>
    </xf>
    <xf numFmtId="0" fontId="28" fillId="0" borderId="49" xfId="0" applyFont="1" applyFill="1" applyBorder="1" applyAlignment="1">
      <alignment horizontal="centerContinuous" vertical="center"/>
    </xf>
    <xf numFmtId="0" fontId="28" fillId="0" borderId="67" xfId="0" applyFont="1" applyFill="1" applyBorder="1" applyAlignment="1">
      <alignment horizontal="centerContinuous" vertical="center"/>
    </xf>
    <xf numFmtId="0" fontId="28" fillId="0" borderId="50" xfId="0" applyFont="1" applyFill="1" applyBorder="1" applyAlignment="1">
      <alignment horizontal="centerContinuous" vertical="center"/>
    </xf>
    <xf numFmtId="0" fontId="39" fillId="0" borderId="6" xfId="0" applyFont="1" applyFill="1" applyBorder="1" applyAlignment="1">
      <alignment/>
    </xf>
    <xf numFmtId="0" fontId="39" fillId="0" borderId="7" xfId="0" applyFont="1" applyFill="1" applyBorder="1" applyAlignment="1">
      <alignment/>
    </xf>
    <xf numFmtId="188" fontId="39" fillId="0" borderId="7" xfId="0" applyNumberFormat="1" applyFont="1" applyFill="1" applyBorder="1" applyAlignment="1">
      <alignment/>
    </xf>
    <xf numFmtId="0" fontId="40" fillId="0" borderId="9" xfId="0" applyFont="1" applyFill="1" applyBorder="1" applyAlignment="1">
      <alignment/>
    </xf>
    <xf numFmtId="0" fontId="40" fillId="0" borderId="64" xfId="0" applyFont="1" applyFill="1" applyBorder="1" applyAlignment="1" quotePrefix="1">
      <alignment horizontal="left" vertical="top" wrapText="1"/>
    </xf>
    <xf numFmtId="0" fontId="40" fillId="0" borderId="48" xfId="0" applyFont="1" applyFill="1" applyBorder="1" applyAlignment="1" quotePrefix="1">
      <alignment horizontal="left" vertical="top" wrapText="1"/>
    </xf>
    <xf numFmtId="0" fontId="40" fillId="0" borderId="4" xfId="0" applyFont="1" applyFill="1" applyBorder="1" applyAlignment="1">
      <alignment/>
    </xf>
    <xf numFmtId="0" fontId="40" fillId="0" borderId="52" xfId="0" applyFont="1" applyFill="1" applyBorder="1" applyAlignment="1">
      <alignment/>
    </xf>
    <xf numFmtId="188" fontId="31" fillId="0" borderId="50" xfId="0" applyNumberFormat="1" applyFont="1" applyFill="1" applyBorder="1" applyAlignment="1">
      <alignment horizontal="centerContinuous"/>
    </xf>
    <xf numFmtId="0" fontId="40" fillId="0" borderId="5" xfId="0" applyFont="1" applyFill="1" applyBorder="1" applyAlignment="1">
      <alignment/>
    </xf>
    <xf numFmtId="0" fontId="40" fillId="0" borderId="0" xfId="0" applyFont="1" applyFill="1" applyAlignment="1">
      <alignment/>
    </xf>
    <xf numFmtId="188" fontId="40" fillId="0" borderId="15" xfId="0" applyNumberFormat="1" applyFont="1" applyFill="1" applyBorder="1" applyAlignment="1">
      <alignment horizontal="center" vertical="top" wrapText="1"/>
    </xf>
    <xf numFmtId="179" fontId="28" fillId="0" borderId="15" xfId="0" applyNumberFormat="1" applyFont="1" applyFill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43" fillId="0" borderId="0" xfId="0" applyFont="1" applyBorder="1" applyAlignment="1">
      <alignment horizontal="left"/>
    </xf>
    <xf numFmtId="179" fontId="41" fillId="0" borderId="0" xfId="0" applyNumberFormat="1" applyFont="1" applyBorder="1" applyAlignment="1">
      <alignment horizontal="left"/>
    </xf>
    <xf numFmtId="179" fontId="41" fillId="0" borderId="55" xfId="0" applyNumberFormat="1" applyFont="1" applyBorder="1" applyAlignment="1">
      <alignment horizontal="left"/>
    </xf>
    <xf numFmtId="179" fontId="28" fillId="0" borderId="35" xfId="0" applyNumberFormat="1" applyFont="1" applyBorder="1" applyAlignment="1">
      <alignment horizontal="right"/>
    </xf>
    <xf numFmtId="179" fontId="28" fillId="0" borderId="36" xfId="0" applyNumberFormat="1" applyFont="1" applyFill="1" applyBorder="1" applyAlignment="1">
      <alignment horizontal="right"/>
    </xf>
    <xf numFmtId="179" fontId="28" fillId="0" borderId="23" xfId="0" applyNumberFormat="1" applyFont="1" applyBorder="1" applyAlignment="1">
      <alignment horizontal="right"/>
    </xf>
    <xf numFmtId="179" fontId="28" fillId="0" borderId="24" xfId="0" applyNumberFormat="1" applyFont="1" applyFill="1" applyBorder="1" applyAlignment="1">
      <alignment horizontal="right"/>
    </xf>
    <xf numFmtId="179" fontId="28" fillId="0" borderId="29" xfId="0" applyNumberFormat="1" applyFont="1" applyBorder="1" applyAlignment="1">
      <alignment horizontal="right"/>
    </xf>
    <xf numFmtId="179" fontId="28" fillId="0" borderId="30" xfId="0" applyNumberFormat="1" applyFont="1" applyFill="1" applyBorder="1" applyAlignment="1">
      <alignment horizontal="right"/>
    </xf>
    <xf numFmtId="179" fontId="31" fillId="0" borderId="15" xfId="0" applyNumberFormat="1" applyFont="1" applyBorder="1" applyAlignment="1">
      <alignment horizontal="right"/>
    </xf>
    <xf numFmtId="179" fontId="28" fillId="0" borderId="27" xfId="0" applyNumberFormat="1" applyFont="1" applyBorder="1" applyAlignment="1">
      <alignment horizontal="right"/>
    </xf>
    <xf numFmtId="179" fontId="28" fillId="0" borderId="28" xfId="0" applyNumberFormat="1" applyFont="1" applyFill="1" applyBorder="1" applyAlignment="1">
      <alignment horizontal="right"/>
    </xf>
    <xf numFmtId="179" fontId="28" fillId="0" borderId="27" xfId="0" applyNumberFormat="1" applyFont="1" applyFill="1" applyBorder="1" applyAlignment="1">
      <alignment horizontal="right"/>
    </xf>
    <xf numFmtId="179" fontId="28" fillId="3" borderId="27" xfId="0" applyNumberFormat="1" applyFont="1" applyFill="1" applyBorder="1" applyAlignment="1">
      <alignment horizontal="right"/>
    </xf>
    <xf numFmtId="179" fontId="28" fillId="8" borderId="27" xfId="0" applyNumberFormat="1" applyFont="1" applyFill="1" applyBorder="1" applyAlignment="1">
      <alignment horizontal="right"/>
    </xf>
    <xf numFmtId="171" fontId="28" fillId="0" borderId="0" xfId="0" applyNumberFormat="1" applyFont="1" applyFill="1" applyAlignment="1">
      <alignment horizontal="right"/>
    </xf>
    <xf numFmtId="179" fontId="28" fillId="15" borderId="27" xfId="0" applyNumberFormat="1" applyFont="1" applyFill="1" applyBorder="1" applyAlignment="1">
      <alignment horizontal="right"/>
    </xf>
    <xf numFmtId="179" fontId="28" fillId="0" borderId="29" xfId="0" applyNumberFormat="1" applyFont="1" applyFill="1" applyBorder="1" applyAlignment="1">
      <alignment horizontal="right"/>
    </xf>
    <xf numFmtId="179" fontId="31" fillId="0" borderId="65" xfId="0" applyNumberFormat="1" applyFont="1" applyFill="1" applyBorder="1" applyAlignment="1">
      <alignment horizontal="right"/>
    </xf>
    <xf numFmtId="179" fontId="28" fillId="0" borderId="35" xfId="0" applyNumberFormat="1" applyFont="1" applyFill="1" applyBorder="1" applyAlignment="1">
      <alignment horizontal="right"/>
    </xf>
    <xf numFmtId="179" fontId="28" fillId="0" borderId="65" xfId="0" applyNumberFormat="1" applyFont="1" applyFill="1" applyBorder="1" applyAlignment="1">
      <alignment horizontal="right"/>
    </xf>
    <xf numFmtId="179" fontId="28" fillId="0" borderId="68" xfId="0" applyNumberFormat="1" applyFont="1" applyFill="1" applyBorder="1" applyAlignment="1">
      <alignment horizontal="right"/>
    </xf>
    <xf numFmtId="179" fontId="31" fillId="0" borderId="15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 horizontal="right"/>
    </xf>
    <xf numFmtId="179" fontId="28" fillId="0" borderId="55" xfId="0" applyNumberFormat="1" applyFont="1" applyBorder="1" applyAlignment="1">
      <alignment/>
    </xf>
    <xf numFmtId="179" fontId="28" fillId="0" borderId="0" xfId="0" applyNumberFormat="1" applyFont="1" applyBorder="1" applyAlignment="1">
      <alignment horizontal="left"/>
    </xf>
    <xf numFmtId="179" fontId="28" fillId="0" borderId="0" xfId="0" applyNumberFormat="1" applyFont="1" applyFill="1" applyBorder="1" applyAlignment="1">
      <alignment horizontal="centerContinuous" vertical="center"/>
    </xf>
    <xf numFmtId="0" fontId="28" fillId="0" borderId="57" xfId="0" applyFont="1" applyBorder="1" applyAlignment="1">
      <alignment horizontal="left"/>
    </xf>
    <xf numFmtId="171" fontId="28" fillId="0" borderId="57" xfId="0" applyNumberFormat="1" applyFont="1" applyFill="1" applyBorder="1" applyAlignment="1">
      <alignment horizontal="right"/>
    </xf>
    <xf numFmtId="0" fontId="28" fillId="0" borderId="56" xfId="0" applyFont="1" applyBorder="1" applyAlignment="1">
      <alignment/>
    </xf>
    <xf numFmtId="0" fontId="28" fillId="0" borderId="0" xfId="0" applyFont="1" applyBorder="1" applyAlignment="1">
      <alignment horizontal="left"/>
    </xf>
    <xf numFmtId="171" fontId="28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171" fontId="28" fillId="0" borderId="0" xfId="0" applyNumberFormat="1" applyFont="1" applyAlignment="1">
      <alignment horizontal="right"/>
    </xf>
    <xf numFmtId="0" fontId="28" fillId="0" borderId="46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47" xfId="0" applyFont="1" applyBorder="1" applyAlignment="1">
      <alignment/>
    </xf>
    <xf numFmtId="0" fontId="33" fillId="0" borderId="0" xfId="0" applyFont="1" applyBorder="1" applyAlignment="1" quotePrefix="1">
      <alignment horizontal="left"/>
    </xf>
    <xf numFmtId="0" fontId="28" fillId="0" borderId="55" xfId="0" applyFont="1" applyBorder="1" applyAlignment="1">
      <alignment/>
    </xf>
    <xf numFmtId="0" fontId="32" fillId="0" borderId="0" xfId="0" applyFont="1" applyBorder="1" applyAlignment="1">
      <alignment horizontal="centerContinuous"/>
    </xf>
    <xf numFmtId="0" fontId="40" fillId="0" borderId="52" xfId="0" applyFont="1" applyBorder="1" applyAlignment="1">
      <alignment/>
    </xf>
    <xf numFmtId="0" fontId="31" fillId="0" borderId="48" xfId="0" applyFont="1" applyBorder="1" applyAlignment="1">
      <alignment horizontal="centerContinuous" vertical="top" wrapText="1"/>
    </xf>
    <xf numFmtId="0" fontId="31" fillId="0" borderId="49" xfId="0" applyFont="1" applyBorder="1" applyAlignment="1">
      <alignment horizontal="centerContinuous" vertical="top" wrapText="1"/>
    </xf>
    <xf numFmtId="0" fontId="31" fillId="0" borderId="50" xfId="0" applyFont="1" applyBorder="1" applyAlignment="1">
      <alignment horizontal="centerContinuous" vertical="top" wrapText="1"/>
    </xf>
    <xf numFmtId="0" fontId="31" fillId="0" borderId="48" xfId="0" applyFont="1" applyBorder="1" applyAlignment="1">
      <alignment horizontal="centerContinuous"/>
    </xf>
    <xf numFmtId="0" fontId="31" fillId="0" borderId="49" xfId="0" applyFont="1" applyBorder="1" applyAlignment="1">
      <alignment horizontal="centerContinuous"/>
    </xf>
    <xf numFmtId="0" fontId="31" fillId="0" borderId="50" xfId="0" applyFont="1" applyBorder="1" applyAlignment="1">
      <alignment horizontal="centerContinuous"/>
    </xf>
    <xf numFmtId="0" fontId="31" fillId="0" borderId="52" xfId="0" applyFont="1" applyBorder="1" applyAlignment="1">
      <alignment horizontal="centerContinuous" vertical="center"/>
    </xf>
    <xf numFmtId="0" fontId="31" fillId="0" borderId="8" xfId="0" applyFont="1" applyBorder="1" applyAlignment="1" quotePrefix="1">
      <alignment horizontal="centerContinuous" vertical="top" wrapText="1"/>
    </xf>
    <xf numFmtId="0" fontId="41" fillId="0" borderId="15" xfId="0" applyFont="1" applyBorder="1" applyAlignment="1">
      <alignment horizontal="centerContinuous" vertical="top" wrapText="1"/>
    </xf>
    <xf numFmtId="0" fontId="41" fillId="0" borderId="15" xfId="0" applyFont="1" applyFill="1" applyBorder="1" applyAlignment="1">
      <alignment horizontal="centerContinuous" vertical="top" wrapText="1"/>
    </xf>
    <xf numFmtId="0" fontId="41" fillId="0" borderId="15" xfId="0" applyFont="1" applyBorder="1" applyAlignment="1">
      <alignment horizontal="centerContinuous" vertical="center" wrapText="1"/>
    </xf>
    <xf numFmtId="0" fontId="31" fillId="0" borderId="8" xfId="0" applyFont="1" applyBorder="1" applyAlignment="1">
      <alignment horizontal="centerContinuous" vertical="top" wrapText="1"/>
    </xf>
    <xf numFmtId="0" fontId="28" fillId="0" borderId="16" xfId="0" applyFont="1" applyFill="1" applyBorder="1" applyAlignment="1">
      <alignment horizontal="left" vertical="center" wrapText="1"/>
    </xf>
    <xf numFmtId="171" fontId="41" fillId="0" borderId="69" xfId="0" applyNumberFormat="1" applyFont="1" applyFill="1" applyBorder="1" applyAlignment="1">
      <alignment/>
    </xf>
    <xf numFmtId="171" fontId="41" fillId="0" borderId="16" xfId="0" applyNumberFormat="1" applyFont="1" applyFill="1" applyBorder="1" applyAlignment="1">
      <alignment/>
    </xf>
    <xf numFmtId="171" fontId="38" fillId="0" borderId="16" xfId="0" applyNumberFormat="1" applyFont="1" applyFill="1" applyBorder="1" applyAlignment="1">
      <alignment/>
    </xf>
    <xf numFmtId="0" fontId="28" fillId="0" borderId="16" xfId="0" applyFont="1" applyFill="1" applyBorder="1" applyAlignment="1">
      <alignment horizontal="left" wrapText="1"/>
    </xf>
    <xf numFmtId="0" fontId="28" fillId="0" borderId="16" xfId="0" applyFont="1" applyFill="1" applyBorder="1" applyAlignment="1" quotePrefix="1">
      <alignment horizontal="left" wrapText="1"/>
    </xf>
    <xf numFmtId="0" fontId="28" fillId="0" borderId="16" xfId="0" applyFont="1" applyFill="1" applyBorder="1" applyAlignment="1" quotePrefix="1">
      <alignment horizontal="left" vertical="center" wrapText="1"/>
    </xf>
    <xf numFmtId="171" fontId="41" fillId="0" borderId="16" xfId="0" applyNumberFormat="1" applyFont="1" applyFill="1" applyBorder="1" applyAlignment="1">
      <alignment horizontal="right"/>
    </xf>
    <xf numFmtId="0" fontId="28" fillId="0" borderId="9" xfId="0" applyFont="1" applyFill="1" applyBorder="1" applyAlignment="1">
      <alignment horizontal="left" vertical="center" wrapText="1"/>
    </xf>
    <xf numFmtId="171" fontId="41" fillId="0" borderId="9" xfId="0" applyNumberFormat="1" applyFont="1" applyFill="1" applyBorder="1" applyAlignment="1">
      <alignment/>
    </xf>
    <xf numFmtId="0" fontId="32" fillId="0" borderId="15" xfId="0" applyFont="1" applyBorder="1" applyAlignment="1">
      <alignment/>
    </xf>
    <xf numFmtId="171" fontId="41" fillId="0" borderId="70" xfId="0" applyNumberFormat="1" applyFont="1" applyBorder="1" applyAlignment="1">
      <alignment/>
    </xf>
    <xf numFmtId="171" fontId="41" fillId="0" borderId="7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188" fontId="41" fillId="0" borderId="0" xfId="0" applyNumberFormat="1" applyFont="1" applyBorder="1" applyAlignment="1">
      <alignment/>
    </xf>
    <xf numFmtId="188" fontId="38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centerContinuous" vertical="center"/>
    </xf>
    <xf numFmtId="188" fontId="41" fillId="0" borderId="11" xfId="0" applyNumberFormat="1" applyFont="1" applyBorder="1" applyAlignment="1">
      <alignment horizontal="centerContinuous" vertical="center"/>
    </xf>
    <xf numFmtId="188" fontId="38" fillId="0" borderId="12" xfId="0" applyNumberFormat="1" applyFont="1" applyBorder="1" applyAlignment="1">
      <alignment horizontal="centerContinuous" vertical="center"/>
    </xf>
    <xf numFmtId="0" fontId="28" fillId="0" borderId="18" xfId="0" applyFont="1" applyBorder="1" applyAlignment="1">
      <alignment/>
    </xf>
    <xf numFmtId="0" fontId="28" fillId="0" borderId="57" xfId="0" applyFont="1" applyBorder="1" applyAlignment="1">
      <alignment/>
    </xf>
    <xf numFmtId="0" fontId="33" fillId="0" borderId="56" xfId="0" applyFont="1" applyBorder="1" applyAlignment="1">
      <alignment/>
    </xf>
    <xf numFmtId="0" fontId="41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wrapText="1"/>
    </xf>
    <xf numFmtId="0" fontId="33" fillId="0" borderId="15" xfId="0" applyFont="1" applyBorder="1" applyAlignment="1">
      <alignment/>
    </xf>
    <xf numFmtId="171" fontId="38" fillId="0" borderId="70" xfId="0" applyNumberFormat="1" applyFont="1" applyBorder="1" applyAlignment="1">
      <alignment/>
    </xf>
    <xf numFmtId="171" fontId="38" fillId="0" borderId="70" xfId="0" applyNumberFormat="1" applyFont="1" applyFill="1" applyBorder="1" applyAlignment="1">
      <alignment/>
    </xf>
    <xf numFmtId="0" fontId="31" fillId="0" borderId="53" xfId="0" applyFont="1" applyFill="1" applyBorder="1" applyAlignment="1" quotePrefix="1">
      <alignment horizontal="left"/>
    </xf>
    <xf numFmtId="4" fontId="41" fillId="0" borderId="16" xfId="0" applyNumberFormat="1" applyFont="1" applyFill="1" applyBorder="1" applyAlignment="1">
      <alignment/>
    </xf>
    <xf numFmtId="0" fontId="41" fillId="0" borderId="16" xfId="0" applyFont="1" applyFill="1" applyBorder="1" applyAlignment="1">
      <alignment/>
    </xf>
    <xf numFmtId="171" fontId="28" fillId="0" borderId="0" xfId="0" applyNumberFormat="1" applyFont="1" applyFill="1" applyAlignment="1">
      <alignment/>
    </xf>
    <xf numFmtId="0" fontId="41" fillId="0" borderId="9" xfId="0" applyFont="1" applyFill="1" applyBorder="1" applyAlignment="1">
      <alignment/>
    </xf>
    <xf numFmtId="0" fontId="28" fillId="0" borderId="15" xfId="0" applyFont="1" applyFill="1" applyBorder="1" applyAlignment="1" quotePrefix="1">
      <alignment horizontal="left"/>
    </xf>
    <xf numFmtId="188" fontId="41" fillId="0" borderId="15" xfId="0" applyNumberFormat="1" applyFont="1" applyFill="1" applyBorder="1" applyAlignment="1">
      <alignment/>
    </xf>
    <xf numFmtId="0" fontId="41" fillId="0" borderId="49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1" fontId="41" fillId="0" borderId="0" xfId="0" applyNumberFormat="1" applyFont="1" applyFill="1" applyBorder="1" applyAlignment="1">
      <alignment/>
    </xf>
    <xf numFmtId="0" fontId="28" fillId="0" borderId="57" xfId="0" applyFont="1" applyFill="1" applyBorder="1" applyAlignment="1">
      <alignment/>
    </xf>
    <xf numFmtId="0" fontId="41" fillId="0" borderId="57" xfId="0" applyFont="1" applyFill="1" applyBorder="1" applyAlignment="1">
      <alignment/>
    </xf>
    <xf numFmtId="171" fontId="41" fillId="0" borderId="57" xfId="0" applyNumberFormat="1" applyFont="1" applyFill="1" applyBorder="1" applyAlignment="1">
      <alignment/>
    </xf>
    <xf numFmtId="0" fontId="33" fillId="0" borderId="56" xfId="0" applyFont="1" applyFill="1" applyBorder="1" applyAlignment="1">
      <alignment horizontal="right"/>
    </xf>
    <xf numFmtId="0" fontId="41" fillId="0" borderId="0" xfId="0" applyFont="1" applyFill="1" applyAlignment="1">
      <alignment/>
    </xf>
    <xf numFmtId="171" fontId="41" fillId="0" borderId="0" xfId="0" applyNumberFormat="1" applyFont="1" applyFill="1" applyAlignment="1">
      <alignment/>
    </xf>
    <xf numFmtId="188" fontId="41" fillId="0" borderId="0" xfId="0" applyNumberFormat="1" applyFont="1" applyFill="1" applyAlignment="1">
      <alignment/>
    </xf>
    <xf numFmtId="0" fontId="41" fillId="0" borderId="47" xfId="0" applyFont="1" applyFill="1" applyBorder="1" applyAlignment="1">
      <alignment/>
    </xf>
    <xf numFmtId="0" fontId="38" fillId="0" borderId="52" xfId="0" applyFont="1" applyFill="1" applyBorder="1" applyAlignment="1">
      <alignment horizontal="centerContinuous" vertical="center" wrapText="1"/>
    </xf>
    <xf numFmtId="0" fontId="38" fillId="0" borderId="15" xfId="0" applyFont="1" applyFill="1" applyBorder="1" applyAlignment="1">
      <alignment horizontal="centerContinuous" vertical="top" wrapText="1"/>
    </xf>
    <xf numFmtId="0" fontId="41" fillId="0" borderId="55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8" xfId="0" applyFont="1" applyFill="1" applyBorder="1" applyAlignment="1">
      <alignment/>
    </xf>
    <xf numFmtId="0" fontId="41" fillId="0" borderId="8" xfId="0" applyFont="1" applyFill="1" applyBorder="1" applyAlignment="1" quotePrefix="1">
      <alignment horizontal="center"/>
    </xf>
    <xf numFmtId="0" fontId="41" fillId="0" borderId="8" xfId="0" applyFont="1" applyFill="1" applyBorder="1" applyAlignment="1">
      <alignment horizontal="centerContinuous"/>
    </xf>
    <xf numFmtId="0" fontId="42" fillId="0" borderId="15" xfId="0" applyFont="1" applyFill="1" applyBorder="1" applyAlignment="1">
      <alignment horizontal="centerContinuous" vertical="top" wrapText="1"/>
    </xf>
    <xf numFmtId="0" fontId="28" fillId="0" borderId="37" xfId="0" applyFont="1" applyBorder="1" applyAlignment="1">
      <alignment horizontal="justify" vertical="justify"/>
    </xf>
    <xf numFmtId="171" fontId="31" fillId="0" borderId="14" xfId="0" applyNumberFormat="1" applyFont="1" applyFill="1" applyBorder="1" applyAlignment="1">
      <alignment/>
    </xf>
    <xf numFmtId="171" fontId="31" fillId="0" borderId="0" xfId="0" applyNumberFormat="1" applyFont="1" applyFill="1" applyAlignment="1">
      <alignment/>
    </xf>
    <xf numFmtId="171" fontId="28" fillId="0" borderId="14" xfId="0" applyNumberFormat="1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71" fontId="32" fillId="0" borderId="14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71" fontId="34" fillId="0" borderId="0" xfId="0" applyNumberFormat="1" applyFont="1" applyFill="1" applyBorder="1" applyAlignment="1">
      <alignment/>
    </xf>
    <xf numFmtId="171" fontId="46" fillId="0" borderId="0" xfId="0" applyNumberFormat="1" applyFont="1" applyFill="1" applyBorder="1" applyAlignment="1">
      <alignment/>
    </xf>
    <xf numFmtId="171" fontId="34" fillId="0" borderId="14" xfId="0" applyNumberFormat="1" applyFont="1" applyFill="1" applyBorder="1" applyAlignment="1">
      <alignment/>
    </xf>
    <xf numFmtId="171" fontId="34" fillId="0" borderId="0" xfId="0" applyNumberFormat="1" applyFont="1" applyFill="1" applyAlignment="1">
      <alignment/>
    </xf>
    <xf numFmtId="171" fontId="47" fillId="0" borderId="0" xfId="0" applyNumberFormat="1" applyFont="1" applyFill="1" applyBorder="1" applyAlignment="1">
      <alignment/>
    </xf>
    <xf numFmtId="171" fontId="48" fillId="0" borderId="0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31" fillId="0" borderId="0" xfId="0" applyFont="1" applyAlignment="1">
      <alignment/>
    </xf>
    <xf numFmtId="0" fontId="50" fillId="12" borderId="14" xfId="0" applyFont="1" applyFill="1" applyBorder="1" applyAlignment="1">
      <alignment horizontal="center"/>
    </xf>
    <xf numFmtId="0" fontId="50" fillId="16" borderId="14" xfId="0" applyFont="1" applyFill="1" applyBorder="1" applyAlignment="1">
      <alignment/>
    </xf>
    <xf numFmtId="171" fontId="50" fillId="16" borderId="14" xfId="0" applyNumberFormat="1" applyFont="1" applyFill="1" applyBorder="1" applyAlignment="1">
      <alignment/>
    </xf>
    <xf numFmtId="0" fontId="50" fillId="16" borderId="14" xfId="0" applyFont="1" applyFill="1" applyBorder="1" applyAlignment="1">
      <alignment horizontal="center"/>
    </xf>
    <xf numFmtId="171" fontId="31" fillId="13" borderId="14" xfId="0" applyNumberFormat="1" applyFont="1" applyFill="1" applyBorder="1" applyAlignment="1">
      <alignment/>
    </xf>
    <xf numFmtId="0" fontId="31" fillId="0" borderId="14" xfId="0" applyFont="1" applyBorder="1" applyAlignment="1">
      <alignment horizontal="center"/>
    </xf>
    <xf numFmtId="171" fontId="31" fillId="17" borderId="14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/>
    </xf>
    <xf numFmtId="2" fontId="31" fillId="0" borderId="14" xfId="0" applyNumberFormat="1" applyFont="1" applyFill="1" applyBorder="1" applyAlignment="1">
      <alignment/>
    </xf>
    <xf numFmtId="171" fontId="28" fillId="0" borderId="0" xfId="0" applyNumberFormat="1" applyFont="1" applyAlignment="1">
      <alignment/>
    </xf>
    <xf numFmtId="0" fontId="28" fillId="0" borderId="14" xfId="0" applyFont="1" applyBorder="1" applyAlignment="1">
      <alignment/>
    </xf>
    <xf numFmtId="171" fontId="28" fillId="0" borderId="14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171" fontId="50" fillId="12" borderId="14" xfId="0" applyNumberFormat="1" applyFont="1" applyFill="1" applyBorder="1" applyAlignment="1">
      <alignment/>
    </xf>
    <xf numFmtId="0" fontId="28" fillId="0" borderId="0" xfId="0" applyFont="1" applyAlignment="1">
      <alignment horizontal="center"/>
    </xf>
    <xf numFmtId="0" fontId="28" fillId="0" borderId="14" xfId="0" applyFont="1" applyFill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Fill="1" applyAlignment="1">
      <alignment/>
    </xf>
    <xf numFmtId="171" fontId="52" fillId="0" borderId="14" xfId="0" applyNumberFormat="1" applyFont="1" applyFill="1" applyBorder="1" applyAlignment="1">
      <alignment/>
    </xf>
    <xf numFmtId="171" fontId="33" fillId="0" borderId="14" xfId="0" applyNumberFormat="1" applyFont="1" applyFill="1" applyBorder="1" applyAlignment="1">
      <alignment/>
    </xf>
    <xf numFmtId="171" fontId="31" fillId="0" borderId="22" xfId="0" applyNumberFormat="1" applyFont="1" applyFill="1" applyBorder="1" applyAlignment="1">
      <alignment/>
    </xf>
    <xf numFmtId="171" fontId="31" fillId="0" borderId="14" xfId="0" applyNumberFormat="1" applyFont="1" applyFill="1" applyBorder="1" applyAlignment="1">
      <alignment horizontal="center"/>
    </xf>
    <xf numFmtId="43" fontId="54" fillId="0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179" fontId="51" fillId="0" borderId="39" xfId="0" applyNumberFormat="1" applyFont="1" applyBorder="1" applyAlignment="1">
      <alignment horizontal="right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50" fillId="12" borderId="14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4" xfId="0" applyFont="1" applyBorder="1" applyAlignment="1">
      <alignment/>
    </xf>
    <xf numFmtId="0" fontId="49" fillId="0" borderId="0" xfId="0" applyFont="1" applyAlignment="1">
      <alignment/>
    </xf>
    <xf numFmtId="0" fontId="53" fillId="0" borderId="48" xfId="0" applyFont="1" applyBorder="1" applyAlignment="1">
      <alignment/>
    </xf>
    <xf numFmtId="0" fontId="53" fillId="0" borderId="49" xfId="0" applyFont="1" applyBorder="1" applyAlignment="1">
      <alignment/>
    </xf>
    <xf numFmtId="0" fontId="53" fillId="0" borderId="50" xfId="0" applyFont="1" applyBorder="1" applyAlignment="1">
      <alignment/>
    </xf>
    <xf numFmtId="0" fontId="31" fillId="0" borderId="65" xfId="0" applyFont="1" applyBorder="1" applyAlignment="1">
      <alignment/>
    </xf>
    <xf numFmtId="0" fontId="31" fillId="0" borderId="71" xfId="0" applyFont="1" applyBorder="1" applyAlignment="1">
      <alignment/>
    </xf>
    <xf numFmtId="0" fontId="31" fillId="0" borderId="68" xfId="0" applyFont="1" applyBorder="1" applyAlignment="1">
      <alignment/>
    </xf>
    <xf numFmtId="0" fontId="50" fillId="12" borderId="14" xfId="0" applyFont="1" applyFill="1" applyBorder="1" applyAlignment="1">
      <alignment horizontal="center"/>
    </xf>
    <xf numFmtId="0" fontId="50" fillId="16" borderId="14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5" borderId="14" xfId="0" applyFont="1" applyFill="1" applyBorder="1" applyAlignment="1">
      <alignment/>
    </xf>
    <xf numFmtId="0" fontId="31" fillId="0" borderId="14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5" borderId="10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6" fillId="0" borderId="72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7" fontId="31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1" fillId="0" borderId="48" xfId="0" applyFont="1" applyFill="1" applyBorder="1" applyAlignment="1" quotePrefix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31" fillId="0" borderId="48" xfId="0" applyFont="1" applyFill="1" applyBorder="1" applyAlignment="1" quotePrefix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  <xf numFmtId="0" fontId="31" fillId="0" borderId="46" xfId="0" applyFont="1" applyFill="1" applyBorder="1" applyAlignment="1" quotePrefix="1">
      <alignment horizontal="left" vertical="top" wrapText="1"/>
    </xf>
    <xf numFmtId="0" fontId="28" fillId="0" borderId="53" xfId="0" applyFont="1" applyBorder="1" applyAlignment="1">
      <alignment horizontal="left" vertical="top" wrapText="1"/>
    </xf>
    <xf numFmtId="0" fontId="28" fillId="0" borderId="54" xfId="0" applyFont="1" applyBorder="1" applyAlignment="1">
      <alignment horizontal="left" vertical="top" wrapText="1"/>
    </xf>
    <xf numFmtId="0" fontId="28" fillId="0" borderId="44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31" fillId="0" borderId="47" xfId="0" applyFont="1" applyFill="1" applyBorder="1" applyAlignment="1" quotePrefix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55" xfId="0" applyFont="1" applyBorder="1" applyAlignment="1">
      <alignment horizontal="left" vertical="top" wrapText="1"/>
    </xf>
    <xf numFmtId="0" fontId="31" fillId="0" borderId="18" xfId="0" applyFont="1" applyFill="1" applyBorder="1" applyAlignment="1" quotePrefix="1">
      <alignment horizontal="left" vertical="top" wrapText="1"/>
    </xf>
    <xf numFmtId="0" fontId="28" fillId="0" borderId="57" xfId="0" applyFont="1" applyBorder="1" applyAlignment="1">
      <alignment horizontal="left" vertical="top" wrapText="1"/>
    </xf>
    <xf numFmtId="0" fontId="28" fillId="0" borderId="56" xfId="0" applyFont="1" applyBorder="1" applyAlignment="1">
      <alignment horizontal="left" vertical="top" wrapText="1"/>
    </xf>
    <xf numFmtId="0" fontId="31" fillId="0" borderId="48" xfId="0" applyFont="1" applyFill="1" applyBorder="1" applyAlignment="1">
      <alignment horizontal="center" vertical="top"/>
    </xf>
    <xf numFmtId="0" fontId="28" fillId="0" borderId="49" xfId="0" applyFont="1" applyBorder="1" applyAlignment="1">
      <alignment horizontal="center" vertical="top"/>
    </xf>
    <xf numFmtId="0" fontId="28" fillId="0" borderId="50" xfId="0" applyFont="1" applyBorder="1" applyAlignment="1">
      <alignment horizontal="center" vertical="top"/>
    </xf>
    <xf numFmtId="0" fontId="31" fillId="0" borderId="48" xfId="0" applyFont="1" applyFill="1" applyBorder="1" applyAlignment="1">
      <alignment horizontal="center" vertical="top" wrapText="1"/>
    </xf>
    <xf numFmtId="0" fontId="28" fillId="0" borderId="49" xfId="0" applyFont="1" applyBorder="1" applyAlignment="1">
      <alignment horizontal="center" vertical="top" wrapText="1"/>
    </xf>
    <xf numFmtId="0" fontId="28" fillId="0" borderId="50" xfId="0" applyFont="1" applyBorder="1" applyAlignment="1">
      <alignment horizontal="center" vertical="top" wrapText="1"/>
    </xf>
    <xf numFmtId="0" fontId="28" fillId="0" borderId="46" xfId="0" applyFont="1" applyFill="1" applyBorder="1" applyAlignment="1">
      <alignment horizontal="center" vertical="top"/>
    </xf>
    <xf numFmtId="0" fontId="28" fillId="0" borderId="53" xfId="0" applyFont="1" applyBorder="1" applyAlignment="1">
      <alignment horizontal="center" vertical="top"/>
    </xf>
    <xf numFmtId="0" fontId="28" fillId="0" borderId="54" xfId="0" applyFont="1" applyBorder="1" applyAlignment="1">
      <alignment horizontal="center" vertical="top"/>
    </xf>
    <xf numFmtId="0" fontId="28" fillId="0" borderId="18" xfId="0" applyFont="1" applyFill="1" applyBorder="1" applyAlignment="1">
      <alignment horizontal="center" vertical="top" wrapText="1"/>
    </xf>
    <xf numFmtId="0" fontId="28" fillId="0" borderId="57" xfId="0" applyFont="1" applyBorder="1" applyAlignment="1">
      <alignment horizontal="center" vertical="top" wrapText="1"/>
    </xf>
    <xf numFmtId="0" fontId="28" fillId="0" borderId="56" xfId="0" applyFont="1" applyBorder="1" applyAlignment="1">
      <alignment horizontal="center" vertical="top" wrapText="1"/>
    </xf>
    <xf numFmtId="0" fontId="31" fillId="0" borderId="46" xfId="0" applyFont="1" applyFill="1" applyBorder="1" applyAlignment="1">
      <alignment horizontal="center" vertical="top"/>
    </xf>
    <xf numFmtId="0" fontId="28" fillId="0" borderId="47" xfId="0" applyFont="1" applyFill="1" applyBorder="1" applyAlignment="1" quotePrefix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55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 vertical="top" wrapText="1"/>
    </xf>
    <xf numFmtId="0" fontId="33" fillId="0" borderId="53" xfId="0" applyFont="1" applyFill="1" applyBorder="1" applyAlignment="1">
      <alignment horizontal="center" vertical="top" wrapText="1"/>
    </xf>
    <xf numFmtId="0" fontId="33" fillId="0" borderId="54" xfId="0" applyFont="1" applyFill="1" applyBorder="1" applyAlignment="1">
      <alignment horizontal="center" vertical="top" wrapText="1"/>
    </xf>
    <xf numFmtId="0" fontId="32" fillId="0" borderId="47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5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46" xfId="0" applyFont="1" applyFill="1" applyBorder="1" applyAlignment="1">
      <alignment horizontal="center" vertical="top"/>
    </xf>
    <xf numFmtId="0" fontId="8" fillId="0" borderId="53" xfId="0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center" vertical="top" wrapText="1"/>
    </xf>
    <xf numFmtId="0" fontId="33" fillId="0" borderId="47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55" xfId="0" applyFont="1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top" wrapText="1"/>
    </xf>
    <xf numFmtId="0" fontId="38" fillId="0" borderId="57" xfId="0" applyFont="1" applyFill="1" applyBorder="1" applyAlignment="1">
      <alignment horizontal="center" vertical="top" wrapText="1"/>
    </xf>
    <xf numFmtId="0" fontId="38" fillId="0" borderId="56" xfId="0" applyFont="1" applyFill="1" applyBorder="1" applyAlignment="1">
      <alignment horizontal="center" vertical="top" wrapText="1"/>
    </xf>
    <xf numFmtId="188" fontId="31" fillId="0" borderId="52" xfId="0" applyNumberFormat="1" applyFont="1" applyFill="1" applyBorder="1" applyAlignment="1">
      <alignment horizontal="center" vertical="center" wrapText="1"/>
    </xf>
    <xf numFmtId="188" fontId="31" fillId="0" borderId="8" xfId="0" applyNumberFormat="1" applyFont="1" applyFill="1" applyBorder="1" applyAlignment="1">
      <alignment horizontal="center" vertical="center" wrapText="1"/>
    </xf>
    <xf numFmtId="188" fontId="40" fillId="0" borderId="18" xfId="0" applyNumberFormat="1" applyFont="1" applyFill="1" applyBorder="1" applyAlignment="1">
      <alignment horizontal="center" vertical="top" wrapText="1"/>
    </xf>
    <xf numFmtId="0" fontId="31" fillId="0" borderId="57" xfId="0" applyFont="1" applyFill="1" applyBorder="1" applyAlignment="1">
      <alignment/>
    </xf>
    <xf numFmtId="0" fontId="31" fillId="0" borderId="56" xfId="0" applyFont="1" applyFill="1" applyBorder="1" applyAlignment="1">
      <alignment/>
    </xf>
    <xf numFmtId="188" fontId="40" fillId="0" borderId="48" xfId="0" applyNumberFormat="1" applyFont="1" applyFill="1" applyBorder="1" applyAlignment="1">
      <alignment horizontal="center" vertical="top" wrapText="1"/>
    </xf>
    <xf numFmtId="188" fontId="40" fillId="0" borderId="49" xfId="0" applyNumberFormat="1" applyFont="1" applyFill="1" applyBorder="1" applyAlignment="1">
      <alignment horizontal="center" vertical="top" wrapText="1"/>
    </xf>
    <xf numFmtId="188" fontId="40" fillId="0" borderId="50" xfId="0" applyNumberFormat="1" applyFont="1" applyFill="1" applyBorder="1" applyAlignment="1">
      <alignment horizontal="center" vertical="top" wrapText="1"/>
    </xf>
    <xf numFmtId="188" fontId="40" fillId="0" borderId="52" xfId="0" applyNumberFormat="1" applyFont="1" applyFill="1" applyBorder="1" applyAlignment="1">
      <alignment horizontal="center" vertical="top" wrapText="1"/>
    </xf>
    <xf numFmtId="188" fontId="40" fillId="0" borderId="8" xfId="0" applyNumberFormat="1" applyFont="1" applyFill="1" applyBorder="1" applyAlignment="1">
      <alignment horizontal="center" vertical="top" wrapText="1"/>
    </xf>
    <xf numFmtId="188" fontId="38" fillId="0" borderId="52" xfId="0" applyNumberFormat="1" applyFont="1" applyFill="1" applyBorder="1" applyAlignment="1">
      <alignment horizontal="center" vertical="top" wrapText="1"/>
    </xf>
    <xf numFmtId="188" fontId="38" fillId="0" borderId="9" xfId="0" applyNumberFormat="1" applyFont="1" applyFill="1" applyBorder="1" applyAlignment="1">
      <alignment horizontal="center" vertical="top" wrapText="1"/>
    </xf>
    <xf numFmtId="0" fontId="38" fillId="0" borderId="8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30" fillId="0" borderId="46" xfId="0" applyFont="1" applyFill="1" applyBorder="1" applyAlignment="1">
      <alignment horizontal="center" vertical="top" wrapText="1"/>
    </xf>
    <xf numFmtId="0" fontId="28" fillId="0" borderId="53" xfId="0" applyFont="1" applyFill="1" applyBorder="1" applyAlignment="1">
      <alignment horizontal="center" vertical="top" wrapText="1"/>
    </xf>
    <xf numFmtId="0" fontId="28" fillId="0" borderId="54" xfId="0" applyFont="1" applyFill="1" applyBorder="1" applyAlignment="1">
      <alignment horizontal="center" vertical="top" wrapText="1"/>
    </xf>
    <xf numFmtId="0" fontId="34" fillId="0" borderId="47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55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56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/>
    </xf>
    <xf numFmtId="188" fontId="38" fillId="0" borderId="8" xfId="0" applyNumberFormat="1" applyFont="1" applyFill="1" applyBorder="1" applyAlignment="1">
      <alignment horizontal="center" vertical="top" wrapText="1"/>
    </xf>
    <xf numFmtId="0" fontId="30" fillId="0" borderId="53" xfId="0" applyFont="1" applyBorder="1" applyAlignment="1" quotePrefix="1">
      <alignment horizontal="center"/>
    </xf>
    <xf numFmtId="0" fontId="30" fillId="0" borderId="46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6" fillId="0" borderId="46" xfId="0" applyFont="1" applyFill="1" applyBorder="1" applyAlignment="1">
      <alignment horizontal="center" vertical="top" wrapText="1"/>
    </xf>
    <xf numFmtId="0" fontId="37" fillId="0" borderId="53" xfId="0" applyFont="1" applyFill="1" applyBorder="1" applyAlignment="1">
      <alignment horizontal="center" vertical="top" wrapText="1"/>
    </xf>
    <xf numFmtId="0" fontId="37" fillId="0" borderId="54" xfId="0" applyFont="1" applyFill="1" applyBorder="1" applyAlignment="1">
      <alignment horizontal="center" vertical="top" wrapText="1"/>
    </xf>
    <xf numFmtId="179" fontId="28" fillId="0" borderId="48" xfId="0" applyNumberFormat="1" applyFont="1" applyFill="1" applyBorder="1" applyAlignment="1">
      <alignment horizontal="center" vertical="center"/>
    </xf>
    <xf numFmtId="179" fontId="28" fillId="0" borderId="49" xfId="0" applyNumberFormat="1" applyFont="1" applyFill="1" applyBorder="1" applyAlignment="1">
      <alignment horizontal="center" vertical="center"/>
    </xf>
    <xf numFmtId="179" fontId="28" fillId="0" borderId="50" xfId="0" applyNumberFormat="1" applyFont="1" applyFill="1" applyBorder="1" applyAlignment="1">
      <alignment horizontal="center" vertical="center"/>
    </xf>
    <xf numFmtId="179" fontId="41" fillId="0" borderId="0" xfId="0" applyNumberFormat="1" applyFont="1" applyBorder="1" applyAlignment="1">
      <alignment horizontal="left"/>
    </xf>
    <xf numFmtId="179" fontId="41" fillId="0" borderId="55" xfId="0" applyNumberFormat="1" applyFont="1" applyBorder="1" applyAlignment="1">
      <alignment horizontal="left"/>
    </xf>
    <xf numFmtId="179" fontId="38" fillId="0" borderId="0" xfId="0" applyNumberFormat="1" applyFont="1" applyBorder="1" applyAlignment="1">
      <alignment horizontal="left"/>
    </xf>
    <xf numFmtId="179" fontId="38" fillId="0" borderId="55" xfId="0" applyNumberFormat="1" applyFont="1" applyBorder="1" applyAlignment="1">
      <alignment horizontal="left"/>
    </xf>
    <xf numFmtId="179" fontId="28" fillId="0" borderId="0" xfId="0" applyNumberFormat="1" applyFont="1" applyBorder="1" applyAlignment="1">
      <alignment horizontal="left"/>
    </xf>
    <xf numFmtId="179" fontId="28" fillId="0" borderId="5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79" fontId="31" fillId="0" borderId="0" xfId="0" applyNumberFormat="1" applyFont="1" applyBorder="1" applyAlignment="1">
      <alignment horizontal="left"/>
    </xf>
    <xf numFmtId="179" fontId="31" fillId="0" borderId="55" xfId="0" applyNumberFormat="1" applyFont="1" applyBorder="1" applyAlignment="1">
      <alignment horizontal="left"/>
    </xf>
    <xf numFmtId="179" fontId="38" fillId="0" borderId="0" xfId="0" applyNumberFormat="1" applyFont="1" applyBorder="1" applyAlignment="1">
      <alignment horizontal="left" wrapText="1"/>
    </xf>
    <xf numFmtId="179" fontId="38" fillId="0" borderId="55" xfId="0" applyNumberFormat="1" applyFont="1" applyBorder="1" applyAlignment="1">
      <alignment horizontal="left" wrapText="1"/>
    </xf>
    <xf numFmtId="0" fontId="41" fillId="0" borderId="52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0" fillId="6" borderId="74" xfId="0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179" fontId="51" fillId="3" borderId="21" xfId="0" applyNumberFormat="1" applyFont="1" applyFill="1" applyBorder="1" applyAlignment="1">
      <alignment vertical="top"/>
    </xf>
    <xf numFmtId="0" fontId="51" fillId="3" borderId="22" xfId="0" applyFont="1" applyFill="1" applyBorder="1" applyAlignment="1">
      <alignment vertical="top"/>
    </xf>
    <xf numFmtId="0" fontId="30" fillId="0" borderId="53" xfId="0" applyFont="1" applyFill="1" applyBorder="1" applyAlignment="1" quotePrefix="1">
      <alignment horizontal="center"/>
    </xf>
    <xf numFmtId="0" fontId="30" fillId="0" borderId="54" xfId="0" applyFont="1" applyFill="1" applyBorder="1" applyAlignment="1" quotePrefix="1">
      <alignment horizontal="center"/>
    </xf>
    <xf numFmtId="0" fontId="31" fillId="0" borderId="46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42" fillId="0" borderId="18" xfId="0" applyFont="1" applyBorder="1" applyAlignment="1">
      <alignment horizontal="left" vertical="top" wrapText="1"/>
    </xf>
    <xf numFmtId="0" fontId="42" fillId="0" borderId="57" xfId="0" applyFont="1" applyBorder="1" applyAlignment="1">
      <alignment horizontal="left" vertical="top" wrapText="1"/>
    </xf>
    <xf numFmtId="0" fontId="42" fillId="0" borderId="56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26" fillId="12" borderId="46" xfId="0" applyFont="1" applyFill="1" applyBorder="1" applyAlignment="1">
      <alignment horizontal="center"/>
    </xf>
    <xf numFmtId="0" fontId="26" fillId="12" borderId="53" xfId="0" applyFont="1" applyFill="1" applyBorder="1" applyAlignment="1">
      <alignment horizontal="center"/>
    </xf>
    <xf numFmtId="0" fontId="26" fillId="12" borderId="54" xfId="0" applyFont="1" applyFill="1" applyBorder="1" applyAlignment="1">
      <alignment horizontal="center"/>
    </xf>
    <xf numFmtId="171" fontId="25" fillId="0" borderId="0" xfId="0" applyNumberFormat="1" applyFont="1" applyFill="1" applyAlignment="1">
      <alignment/>
    </xf>
    <xf numFmtId="43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56" fillId="0" borderId="0" xfId="0" applyFont="1" applyFill="1" applyAlignment="1">
      <alignment/>
    </xf>
    <xf numFmtId="179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88" fontId="56" fillId="0" borderId="0" xfId="0" applyNumberFormat="1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ES%20BAJA\TOMOGRAF\2000-econt\2000-EC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"/>
      <sheetName val="E.S.P."/>
      <sheetName val="E.RESUL"/>
      <sheetName val="E.E.P.N."/>
      <sheetName val="E.O.A.CC"/>
      <sheetName val="D-O-MON"/>
      <sheetName val="A.BS.USO"/>
      <sheetName val="A.GASTOS"/>
      <sheetName val="A.RTDOS"/>
      <sheetName val="RATIOS"/>
    </sheetNames>
    <sheetDataSet>
      <sheetData sheetId="1">
        <row r="23">
          <cell r="G23">
            <v>141224.71000000002</v>
          </cell>
          <cell r="H23">
            <v>122996.62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workbookViewId="0" topLeftCell="A1">
      <selection activeCell="A1" sqref="A1:B1"/>
    </sheetView>
  </sheetViews>
  <sheetFormatPr defaultColWidth="11.421875" defaultRowHeight="12.75"/>
  <cols>
    <col min="1" max="2" width="11.421875" style="336" customWidth="1"/>
    <col min="3" max="3" width="13.57421875" style="336" customWidth="1"/>
    <col min="4" max="5" width="13.8515625" style="336" bestFit="1" customWidth="1"/>
    <col min="6" max="6" width="6.57421875" style="478" customWidth="1"/>
    <col min="7" max="7" width="23.140625" style="336" customWidth="1"/>
    <col min="8" max="8" width="11.421875" style="336" customWidth="1"/>
    <col min="9" max="10" width="11.57421875" style="336" bestFit="1" customWidth="1"/>
    <col min="11" max="16384" width="11.421875" style="336" customWidth="1"/>
  </cols>
  <sheetData>
    <row r="1" spans="1:6" ht="20.25" thickBot="1">
      <c r="A1" s="499" t="s">
        <v>222</v>
      </c>
      <c r="B1" s="499"/>
      <c r="C1" s="500" t="s">
        <v>223</v>
      </c>
      <c r="D1" s="501"/>
      <c r="E1" s="501"/>
      <c r="F1" s="502"/>
    </row>
    <row r="2" spans="1:6" ht="13.5" thickBot="1">
      <c r="A2" s="462"/>
      <c r="B2" s="462"/>
      <c r="C2" s="503" t="s">
        <v>224</v>
      </c>
      <c r="D2" s="504"/>
      <c r="E2" s="504"/>
      <c r="F2" s="505"/>
    </row>
    <row r="3" spans="1:6" ht="13.5" thickBot="1">
      <c r="A3" s="462"/>
      <c r="B3" s="462"/>
      <c r="C3" s="503" t="s">
        <v>225</v>
      </c>
      <c r="D3" s="504"/>
      <c r="E3" s="504"/>
      <c r="F3" s="505"/>
    </row>
    <row r="5" spans="1:7" ht="12.75">
      <c r="A5" s="506" t="s">
        <v>226</v>
      </c>
      <c r="B5" s="506"/>
      <c r="C5" s="506"/>
      <c r="D5" s="463" t="s">
        <v>227</v>
      </c>
      <c r="E5" s="463" t="s">
        <v>228</v>
      </c>
      <c r="F5" s="463" t="s">
        <v>229</v>
      </c>
      <c r="G5" s="463" t="s">
        <v>230</v>
      </c>
    </row>
    <row r="6" spans="1:7" ht="12.75">
      <c r="A6" s="507" t="s">
        <v>231</v>
      </c>
      <c r="B6" s="507"/>
      <c r="C6" s="507"/>
      <c r="D6" s="465"/>
      <c r="E6" s="465"/>
      <c r="F6" s="466"/>
      <c r="G6" s="464"/>
    </row>
    <row r="7" spans="1:7" ht="12.75">
      <c r="A7" s="508" t="s">
        <v>232</v>
      </c>
      <c r="B7" s="509"/>
      <c r="C7" s="510"/>
      <c r="D7" s="467">
        <v>790</v>
      </c>
      <c r="E7" s="467"/>
      <c r="F7" s="468" t="s">
        <v>233</v>
      </c>
      <c r="G7" s="474" t="s">
        <v>234</v>
      </c>
    </row>
    <row r="8" spans="1:7" ht="12.75">
      <c r="A8" s="508" t="s">
        <v>235</v>
      </c>
      <c r="B8" s="509"/>
      <c r="C8" s="510"/>
      <c r="D8" s="467"/>
      <c r="E8" s="467">
        <v>790</v>
      </c>
      <c r="F8" s="468" t="s">
        <v>233</v>
      </c>
      <c r="G8" s="474" t="s">
        <v>234</v>
      </c>
    </row>
    <row r="9" spans="1:7" ht="12.75">
      <c r="A9" s="508" t="s">
        <v>236</v>
      </c>
      <c r="B9" s="509"/>
      <c r="C9" s="510"/>
      <c r="D9" s="467">
        <v>1100</v>
      </c>
      <c r="E9" s="467"/>
      <c r="F9" s="468" t="s">
        <v>233</v>
      </c>
      <c r="G9" s="474" t="s">
        <v>234</v>
      </c>
    </row>
    <row r="10" spans="1:7" ht="12.75">
      <c r="A10" s="508" t="s">
        <v>232</v>
      </c>
      <c r="B10" s="509"/>
      <c r="C10" s="510"/>
      <c r="D10" s="467"/>
      <c r="E10" s="467">
        <v>1100</v>
      </c>
      <c r="F10" s="468" t="s">
        <v>233</v>
      </c>
      <c r="G10" s="474" t="s">
        <v>234</v>
      </c>
    </row>
    <row r="11" spans="1:7" ht="12.75">
      <c r="A11" s="508" t="s">
        <v>237</v>
      </c>
      <c r="B11" s="509"/>
      <c r="C11" s="510"/>
      <c r="D11" s="467">
        <v>4</v>
      </c>
      <c r="E11" s="467"/>
      <c r="F11" s="468" t="s">
        <v>233</v>
      </c>
      <c r="G11" s="474" t="s">
        <v>234</v>
      </c>
    </row>
    <row r="12" spans="1:7" ht="12.75">
      <c r="A12" s="508" t="s">
        <v>232</v>
      </c>
      <c r="B12" s="509"/>
      <c r="C12" s="510"/>
      <c r="D12" s="467"/>
      <c r="E12" s="467">
        <v>4</v>
      </c>
      <c r="F12" s="468" t="s">
        <v>233</v>
      </c>
      <c r="G12" s="474" t="s">
        <v>234</v>
      </c>
    </row>
    <row r="13" spans="1:7" ht="12.75">
      <c r="A13" s="508" t="s">
        <v>194</v>
      </c>
      <c r="B13" s="509"/>
      <c r="C13" s="510"/>
      <c r="D13" s="467">
        <v>100</v>
      </c>
      <c r="E13" s="467"/>
      <c r="F13" s="468" t="s">
        <v>233</v>
      </c>
      <c r="G13" s="474" t="s">
        <v>234</v>
      </c>
    </row>
    <row r="14" spans="1:7" ht="12.75">
      <c r="A14" s="508" t="s">
        <v>196</v>
      </c>
      <c r="B14" s="509"/>
      <c r="C14" s="510"/>
      <c r="D14" s="467">
        <v>55</v>
      </c>
      <c r="E14" s="467"/>
      <c r="F14" s="468" t="s">
        <v>233</v>
      </c>
      <c r="G14" s="474" t="s">
        <v>234</v>
      </c>
    </row>
    <row r="15" spans="1:7" ht="12.75">
      <c r="A15" s="508" t="s">
        <v>193</v>
      </c>
      <c r="B15" s="509"/>
      <c r="C15" s="510"/>
      <c r="D15" s="467">
        <v>28</v>
      </c>
      <c r="E15" s="467"/>
      <c r="F15" s="468" t="s">
        <v>233</v>
      </c>
      <c r="G15" s="474" t="s">
        <v>234</v>
      </c>
    </row>
    <row r="16" spans="1:7" ht="12.75">
      <c r="A16" s="508" t="s">
        <v>201</v>
      </c>
      <c r="B16" s="509"/>
      <c r="C16" s="510"/>
      <c r="D16" s="467">
        <v>93</v>
      </c>
      <c r="E16" s="467"/>
      <c r="F16" s="468" t="s">
        <v>233</v>
      </c>
      <c r="G16" s="474" t="s">
        <v>234</v>
      </c>
    </row>
    <row r="17" spans="1:7" ht="12.75">
      <c r="A17" s="508" t="s">
        <v>232</v>
      </c>
      <c r="B17" s="509"/>
      <c r="C17" s="510"/>
      <c r="D17" s="467">
        <v>224</v>
      </c>
      <c r="E17" s="467"/>
      <c r="F17" s="468" t="s">
        <v>233</v>
      </c>
      <c r="G17" s="474" t="s">
        <v>234</v>
      </c>
    </row>
    <row r="18" spans="1:7" ht="12.75">
      <c r="A18" s="508" t="s">
        <v>238</v>
      </c>
      <c r="B18" s="509"/>
      <c r="C18" s="510"/>
      <c r="D18" s="467">
        <v>0</v>
      </c>
      <c r="E18" s="467">
        <v>500</v>
      </c>
      <c r="F18" s="468" t="s">
        <v>233</v>
      </c>
      <c r="G18" s="474" t="s">
        <v>234</v>
      </c>
    </row>
    <row r="19" spans="1:7" ht="12.75">
      <c r="A19" s="511"/>
      <c r="B19" s="511"/>
      <c r="C19" s="511"/>
      <c r="D19" s="467"/>
      <c r="E19" s="467"/>
      <c r="F19" s="468"/>
      <c r="G19" s="474" t="s">
        <v>234</v>
      </c>
    </row>
    <row r="20" spans="1:7" ht="12.75">
      <c r="A20" s="512" t="s">
        <v>239</v>
      </c>
      <c r="B20" s="512"/>
      <c r="C20" s="512"/>
      <c r="D20" s="467">
        <v>200</v>
      </c>
      <c r="E20" s="467"/>
      <c r="F20" s="468" t="s">
        <v>240</v>
      </c>
      <c r="G20" s="474" t="s">
        <v>234</v>
      </c>
    </row>
    <row r="21" spans="1:7" ht="12.75">
      <c r="A21" s="512" t="s">
        <v>241</v>
      </c>
      <c r="B21" s="512"/>
      <c r="C21" s="512"/>
      <c r="D21" s="467"/>
      <c r="E21" s="467">
        <v>200</v>
      </c>
      <c r="F21" s="468" t="s">
        <v>240</v>
      </c>
      <c r="G21" s="474" t="s">
        <v>234</v>
      </c>
    </row>
    <row r="22" spans="1:7" ht="12.75">
      <c r="A22" s="511"/>
      <c r="B22" s="511"/>
      <c r="C22" s="511"/>
      <c r="D22" s="467"/>
      <c r="E22" s="467"/>
      <c r="F22" s="468"/>
      <c r="G22" s="474" t="s">
        <v>234</v>
      </c>
    </row>
    <row r="23" spans="1:7" ht="12.75">
      <c r="A23" s="508" t="s">
        <v>242</v>
      </c>
      <c r="B23" s="509"/>
      <c r="C23" s="510"/>
      <c r="D23" s="467">
        <f>4780+2800</f>
        <v>7580</v>
      </c>
      <c r="E23" s="467"/>
      <c r="F23" s="468" t="s">
        <v>243</v>
      </c>
      <c r="G23" s="474" t="s">
        <v>234</v>
      </c>
    </row>
    <row r="24" spans="1:7" ht="12.75">
      <c r="A24" s="508" t="s">
        <v>244</v>
      </c>
      <c r="B24" s="509"/>
      <c r="C24" s="510"/>
      <c r="D24" s="467"/>
      <c r="E24" s="467">
        <f>4780+2800</f>
        <v>7580</v>
      </c>
      <c r="F24" s="468" t="s">
        <v>243</v>
      </c>
      <c r="G24" s="474" t="s">
        <v>234</v>
      </c>
    </row>
    <row r="25" spans="1:7" ht="12.75">
      <c r="A25" s="508" t="s">
        <v>242</v>
      </c>
      <c r="B25" s="509"/>
      <c r="C25" s="510"/>
      <c r="D25" s="467">
        <v>3700</v>
      </c>
      <c r="E25" s="467"/>
      <c r="F25" s="468" t="s">
        <v>243</v>
      </c>
      <c r="G25" s="474" t="s">
        <v>234</v>
      </c>
    </row>
    <row r="26" spans="1:7" ht="12.75">
      <c r="A26" s="508" t="s">
        <v>245</v>
      </c>
      <c r="B26" s="509"/>
      <c r="C26" s="510"/>
      <c r="D26" s="467"/>
      <c r="E26" s="467">
        <v>3700</v>
      </c>
      <c r="F26" s="468" t="s">
        <v>243</v>
      </c>
      <c r="G26" s="474" t="s">
        <v>234</v>
      </c>
    </row>
    <row r="27" spans="1:7" ht="12.75">
      <c r="A27" s="508" t="s">
        <v>246</v>
      </c>
      <c r="B27" s="509"/>
      <c r="C27" s="510"/>
      <c r="D27" s="467">
        <v>40</v>
      </c>
      <c r="E27" s="467"/>
      <c r="F27" s="468" t="s">
        <v>243</v>
      </c>
      <c r="G27" s="474" t="s">
        <v>234</v>
      </c>
    </row>
    <row r="28" spans="1:7" ht="12.75">
      <c r="A28" s="508" t="s">
        <v>242</v>
      </c>
      <c r="B28" s="509"/>
      <c r="C28" s="510"/>
      <c r="D28" s="467"/>
      <c r="E28" s="467">
        <v>40</v>
      </c>
      <c r="F28" s="468" t="s">
        <v>243</v>
      </c>
      <c r="G28" s="474" t="s">
        <v>234</v>
      </c>
    </row>
    <row r="29" spans="1:7" ht="12.75">
      <c r="A29" s="507" t="s">
        <v>247</v>
      </c>
      <c r="B29" s="507"/>
      <c r="C29" s="507"/>
      <c r="D29" s="465"/>
      <c r="E29" s="465"/>
      <c r="F29" s="466"/>
      <c r="G29" s="464"/>
    </row>
    <row r="30" spans="1:7" ht="12.75">
      <c r="A30" s="508" t="s">
        <v>248</v>
      </c>
      <c r="B30" s="509"/>
      <c r="C30" s="510"/>
      <c r="D30" s="469">
        <v>12247.62</v>
      </c>
      <c r="E30" s="469"/>
      <c r="F30" s="468" t="s">
        <v>249</v>
      </c>
      <c r="G30" s="474" t="s">
        <v>234</v>
      </c>
    </row>
    <row r="31" spans="1:7" ht="12.75">
      <c r="A31" s="508" t="s">
        <v>250</v>
      </c>
      <c r="B31" s="509"/>
      <c r="C31" s="510"/>
      <c r="D31" s="469"/>
      <c r="E31" s="469">
        <v>12247.62</v>
      </c>
      <c r="F31" s="468" t="s">
        <v>249</v>
      </c>
      <c r="G31" s="474" t="s">
        <v>234</v>
      </c>
    </row>
    <row r="32" spans="1:7" ht="12.75">
      <c r="A32" s="512" t="s">
        <v>197</v>
      </c>
      <c r="B32" s="512"/>
      <c r="C32" s="512"/>
      <c r="D32" s="469">
        <v>400</v>
      </c>
      <c r="E32" s="469"/>
      <c r="F32" s="468" t="s">
        <v>249</v>
      </c>
      <c r="G32" s="474" t="s">
        <v>234</v>
      </c>
    </row>
    <row r="33" spans="1:7" ht="12.75">
      <c r="A33" s="512" t="s">
        <v>251</v>
      </c>
      <c r="B33" s="512"/>
      <c r="C33" s="512"/>
      <c r="D33" s="469"/>
      <c r="E33" s="469">
        <v>400</v>
      </c>
      <c r="F33" s="468" t="s">
        <v>249</v>
      </c>
      <c r="G33" s="474" t="s">
        <v>234</v>
      </c>
    </row>
    <row r="34" spans="1:7" ht="12.75">
      <c r="A34" s="511"/>
      <c r="B34" s="511"/>
      <c r="C34" s="511"/>
      <c r="D34" s="469"/>
      <c r="E34" s="469"/>
      <c r="F34" s="468"/>
      <c r="G34" s="474" t="s">
        <v>234</v>
      </c>
    </row>
    <row r="35" spans="1:7" ht="12.75">
      <c r="A35" s="508" t="s">
        <v>252</v>
      </c>
      <c r="B35" s="509"/>
      <c r="C35" s="510"/>
      <c r="D35" s="469">
        <v>5689.5</v>
      </c>
      <c r="E35" s="469"/>
      <c r="F35" s="468" t="s">
        <v>253</v>
      </c>
      <c r="G35" s="474" t="s">
        <v>234</v>
      </c>
    </row>
    <row r="36" spans="1:7" ht="12.75">
      <c r="A36" s="508" t="s">
        <v>250</v>
      </c>
      <c r="B36" s="509"/>
      <c r="C36" s="510"/>
      <c r="D36" s="469"/>
      <c r="E36" s="469">
        <v>5689.5</v>
      </c>
      <c r="F36" s="468" t="s">
        <v>253</v>
      </c>
      <c r="G36" s="474" t="s">
        <v>234</v>
      </c>
    </row>
    <row r="37" spans="1:7" ht="12.75">
      <c r="A37" s="512" t="s">
        <v>254</v>
      </c>
      <c r="B37" s="512"/>
      <c r="C37" s="512"/>
      <c r="D37" s="469">
        <v>1100</v>
      </c>
      <c r="E37" s="469"/>
      <c r="F37" s="468" t="s">
        <v>253</v>
      </c>
      <c r="G37" s="474" t="s">
        <v>234</v>
      </c>
    </row>
    <row r="38" spans="1:7" ht="12.75">
      <c r="A38" s="512" t="s">
        <v>255</v>
      </c>
      <c r="B38" s="512"/>
      <c r="C38" s="512"/>
      <c r="D38" s="469"/>
      <c r="E38" s="469">
        <v>1100</v>
      </c>
      <c r="F38" s="468" t="s">
        <v>253</v>
      </c>
      <c r="G38" s="474" t="s">
        <v>234</v>
      </c>
    </row>
    <row r="39" spans="1:7" ht="12.75">
      <c r="A39" s="511"/>
      <c r="B39" s="511"/>
      <c r="C39" s="511"/>
      <c r="D39" s="469"/>
      <c r="E39" s="469"/>
      <c r="F39" s="468"/>
      <c r="G39" s="474" t="s">
        <v>234</v>
      </c>
    </row>
    <row r="40" spans="1:7" ht="12.75">
      <c r="A40" s="508" t="s">
        <v>256</v>
      </c>
      <c r="B40" s="509"/>
      <c r="C40" s="510"/>
      <c r="D40" s="469">
        <v>386.07</v>
      </c>
      <c r="E40" s="469"/>
      <c r="F40" s="468" t="s">
        <v>257</v>
      </c>
      <c r="G40" s="474" t="s">
        <v>234</v>
      </c>
    </row>
    <row r="41" spans="1:7" ht="12.75">
      <c r="A41" s="508" t="s">
        <v>250</v>
      </c>
      <c r="B41" s="509"/>
      <c r="C41" s="510"/>
      <c r="D41" s="469"/>
      <c r="E41" s="469">
        <v>386.07</v>
      </c>
      <c r="F41" s="468" t="s">
        <v>257</v>
      </c>
      <c r="G41" s="474" t="s">
        <v>234</v>
      </c>
    </row>
    <row r="42" spans="1:7" ht="12.75">
      <c r="A42" s="508" t="s">
        <v>258</v>
      </c>
      <c r="B42" s="509"/>
      <c r="C42" s="510"/>
      <c r="D42" s="469">
        <v>3000</v>
      </c>
      <c r="E42" s="469"/>
      <c r="F42" s="468" t="s">
        <v>257</v>
      </c>
      <c r="G42" s="474" t="s">
        <v>234</v>
      </c>
    </row>
    <row r="43" spans="1:7" ht="12.75">
      <c r="A43" s="508" t="s">
        <v>259</v>
      </c>
      <c r="B43" s="509"/>
      <c r="C43" s="510"/>
      <c r="D43" s="469"/>
      <c r="E43" s="469">
        <v>75.65</v>
      </c>
      <c r="F43" s="468" t="s">
        <v>257</v>
      </c>
      <c r="G43" s="474" t="s">
        <v>234</v>
      </c>
    </row>
    <row r="44" spans="1:7" ht="12.75">
      <c r="A44" s="508" t="s">
        <v>254</v>
      </c>
      <c r="B44" s="509"/>
      <c r="C44" s="510"/>
      <c r="D44" s="469"/>
      <c r="E44" s="469">
        <v>2924.35</v>
      </c>
      <c r="F44" s="468" t="s">
        <v>257</v>
      </c>
      <c r="G44" s="474" t="s">
        <v>234</v>
      </c>
    </row>
    <row r="45" spans="1:7" ht="12.75">
      <c r="A45" s="511"/>
      <c r="B45" s="511"/>
      <c r="C45" s="516"/>
      <c r="D45" s="469"/>
      <c r="E45" s="469"/>
      <c r="F45" s="468"/>
      <c r="G45" s="474" t="s">
        <v>234</v>
      </c>
    </row>
    <row r="46" spans="1:7" ht="12.75">
      <c r="A46" s="508" t="s">
        <v>260</v>
      </c>
      <c r="B46" s="509"/>
      <c r="C46" s="510"/>
      <c r="D46" s="469">
        <v>139095</v>
      </c>
      <c r="E46" s="469"/>
      <c r="F46" s="468" t="s">
        <v>261</v>
      </c>
      <c r="G46" s="474" t="s">
        <v>234</v>
      </c>
    </row>
    <row r="47" spans="1:7" ht="12.75">
      <c r="A47" s="508" t="s">
        <v>254</v>
      </c>
      <c r="B47" s="509"/>
      <c r="C47" s="510"/>
      <c r="D47" s="469"/>
      <c r="E47" s="469">
        <v>139095</v>
      </c>
      <c r="F47" s="468" t="s">
        <v>261</v>
      </c>
      <c r="G47" s="474" t="s">
        <v>234</v>
      </c>
    </row>
    <row r="48" spans="1:7" ht="12.75">
      <c r="A48" s="507" t="s">
        <v>262</v>
      </c>
      <c r="B48" s="507"/>
      <c r="C48" s="507"/>
      <c r="D48" s="465"/>
      <c r="E48" s="465"/>
      <c r="F48" s="466"/>
      <c r="G48" s="464"/>
    </row>
    <row r="49" spans="1:7" ht="12.75">
      <c r="A49" s="513" t="s">
        <v>245</v>
      </c>
      <c r="B49" s="514"/>
      <c r="C49" s="515"/>
      <c r="D49" s="444">
        <v>5000</v>
      </c>
      <c r="E49" s="444"/>
      <c r="F49" s="470" t="s">
        <v>263</v>
      </c>
      <c r="G49" s="479" t="s">
        <v>234</v>
      </c>
    </row>
    <row r="50" spans="1:7" ht="12.75">
      <c r="A50" s="513" t="s">
        <v>264</v>
      </c>
      <c r="B50" s="514"/>
      <c r="C50" s="515"/>
      <c r="D50" s="444"/>
      <c r="E50" s="444">
        <v>5000</v>
      </c>
      <c r="F50" s="470" t="s">
        <v>263</v>
      </c>
      <c r="G50" s="479" t="s">
        <v>234</v>
      </c>
    </row>
    <row r="51" spans="1:7" ht="12.75">
      <c r="A51" s="513" t="s">
        <v>264</v>
      </c>
      <c r="B51" s="514"/>
      <c r="C51" s="515"/>
      <c r="D51" s="444">
        <v>2885</v>
      </c>
      <c r="E51" s="444"/>
      <c r="F51" s="470" t="s">
        <v>263</v>
      </c>
      <c r="G51" s="479" t="s">
        <v>234</v>
      </c>
    </row>
    <row r="52" spans="1:7" ht="12.75">
      <c r="A52" s="513" t="s">
        <v>260</v>
      </c>
      <c r="B52" s="514"/>
      <c r="C52" s="515"/>
      <c r="D52" s="444"/>
      <c r="E52" s="444">
        <v>2885</v>
      </c>
      <c r="F52" s="470" t="s">
        <v>263</v>
      </c>
      <c r="G52" s="479" t="s">
        <v>234</v>
      </c>
    </row>
    <row r="53" spans="1:7" ht="12.75">
      <c r="A53" s="517" t="s">
        <v>264</v>
      </c>
      <c r="B53" s="517"/>
      <c r="C53" s="517"/>
      <c r="D53" s="444">
        <v>2115</v>
      </c>
      <c r="E53" s="444"/>
      <c r="F53" s="470" t="s">
        <v>263</v>
      </c>
      <c r="G53" s="479" t="s">
        <v>234</v>
      </c>
    </row>
    <row r="54" spans="1:7" ht="12.75">
      <c r="A54" s="517" t="s">
        <v>265</v>
      </c>
      <c r="B54" s="517"/>
      <c r="C54" s="517"/>
      <c r="D54" s="444"/>
      <c r="E54" s="444">
        <v>2115</v>
      </c>
      <c r="F54" s="470" t="s">
        <v>263</v>
      </c>
      <c r="G54" s="479" t="s">
        <v>234</v>
      </c>
    </row>
    <row r="55" spans="1:7" ht="12.75">
      <c r="A55" s="507" t="s">
        <v>266</v>
      </c>
      <c r="B55" s="507"/>
      <c r="C55" s="507"/>
      <c r="D55" s="465"/>
      <c r="E55" s="465"/>
      <c r="F55" s="466"/>
      <c r="G55" s="464"/>
    </row>
    <row r="56" spans="1:7" ht="12.75">
      <c r="A56" s="512" t="s">
        <v>267</v>
      </c>
      <c r="B56" s="512"/>
      <c r="C56" s="512"/>
      <c r="D56" s="472">
        <v>500</v>
      </c>
      <c r="E56" s="471"/>
      <c r="F56" s="468" t="s">
        <v>268</v>
      </c>
      <c r="G56" s="474" t="s">
        <v>234</v>
      </c>
    </row>
    <row r="57" spans="1:7" ht="12.75">
      <c r="A57" s="512" t="s">
        <v>269</v>
      </c>
      <c r="B57" s="512"/>
      <c r="C57" s="512"/>
      <c r="D57" s="471"/>
      <c r="E57" s="472">
        <v>500</v>
      </c>
      <c r="F57" s="468" t="s">
        <v>268</v>
      </c>
      <c r="G57" s="474" t="s">
        <v>234</v>
      </c>
    </row>
    <row r="58" spans="1:7" ht="12.75">
      <c r="A58" s="511"/>
      <c r="B58" s="511"/>
      <c r="C58" s="511"/>
      <c r="D58" s="444"/>
      <c r="E58" s="444"/>
      <c r="F58" s="468"/>
      <c r="G58" s="474" t="s">
        <v>234</v>
      </c>
    </row>
    <row r="59" spans="1:7" ht="12.75">
      <c r="A59" s="512" t="s">
        <v>270</v>
      </c>
      <c r="B59" s="512"/>
      <c r="C59" s="512"/>
      <c r="D59" s="444">
        <v>255.51</v>
      </c>
      <c r="E59" s="444"/>
      <c r="F59" s="468" t="s">
        <v>271</v>
      </c>
      <c r="G59" s="474" t="s">
        <v>234</v>
      </c>
    </row>
    <row r="60" spans="1:7" ht="12.75">
      <c r="A60" s="512" t="s">
        <v>272</v>
      </c>
      <c r="B60" s="512"/>
      <c r="C60" s="512"/>
      <c r="D60" s="444"/>
      <c r="E60" s="444">
        <v>255.51</v>
      </c>
      <c r="F60" s="468" t="s">
        <v>271</v>
      </c>
      <c r="G60" s="474" t="s">
        <v>234</v>
      </c>
    </row>
    <row r="61" spans="1:10" ht="12.75">
      <c r="A61" s="507" t="s">
        <v>273</v>
      </c>
      <c r="B61" s="507"/>
      <c r="C61" s="507"/>
      <c r="D61" s="465"/>
      <c r="E61" s="465"/>
      <c r="F61" s="466"/>
      <c r="G61" s="464"/>
      <c r="I61" s="473"/>
      <c r="J61" s="473"/>
    </row>
    <row r="62" spans="1:7" ht="12.75">
      <c r="A62" s="498" t="s">
        <v>274</v>
      </c>
      <c r="B62" s="498"/>
      <c r="C62" s="498"/>
      <c r="D62" s="475">
        <v>2825</v>
      </c>
      <c r="E62" s="475"/>
      <c r="F62" s="476" t="s">
        <v>275</v>
      </c>
      <c r="G62" s="474" t="s">
        <v>234</v>
      </c>
    </row>
    <row r="63" spans="1:7" ht="12.75">
      <c r="A63" s="498" t="s">
        <v>276</v>
      </c>
      <c r="B63" s="498"/>
      <c r="C63" s="498"/>
      <c r="D63" s="475">
        <v>405</v>
      </c>
      <c r="E63" s="475"/>
      <c r="F63" s="476" t="s">
        <v>275</v>
      </c>
      <c r="G63" s="474" t="s">
        <v>234</v>
      </c>
    </row>
    <row r="64" spans="1:7" ht="12.75">
      <c r="A64" s="498" t="s">
        <v>277</v>
      </c>
      <c r="B64" s="498"/>
      <c r="C64" s="498"/>
      <c r="D64" s="475">
        <v>6000</v>
      </c>
      <c r="E64" s="475"/>
      <c r="F64" s="476" t="s">
        <v>275</v>
      </c>
      <c r="G64" s="474" t="s">
        <v>234</v>
      </c>
    </row>
    <row r="65" spans="1:7" ht="12.75">
      <c r="A65" s="498" t="s">
        <v>278</v>
      </c>
      <c r="B65" s="498"/>
      <c r="C65" s="498"/>
      <c r="D65" s="475"/>
      <c r="E65" s="475">
        <v>1342</v>
      </c>
      <c r="F65" s="476" t="s">
        <v>275</v>
      </c>
      <c r="G65" s="474" t="s">
        <v>234</v>
      </c>
    </row>
    <row r="66" spans="1:7" ht="12.75">
      <c r="A66" s="498" t="s">
        <v>279</v>
      </c>
      <c r="B66" s="498"/>
      <c r="C66" s="498"/>
      <c r="D66" s="475"/>
      <c r="E66" s="475">
        <v>81</v>
      </c>
      <c r="F66" s="476" t="s">
        <v>275</v>
      </c>
      <c r="G66" s="474" t="s">
        <v>234</v>
      </c>
    </row>
    <row r="67" spans="1:7" ht="12.75">
      <c r="A67" s="498" t="s">
        <v>280</v>
      </c>
      <c r="B67" s="498"/>
      <c r="C67" s="498"/>
      <c r="D67" s="475"/>
      <c r="E67" s="475">
        <v>0</v>
      </c>
      <c r="F67" s="476" t="s">
        <v>275</v>
      </c>
      <c r="G67" s="474" t="s">
        <v>234</v>
      </c>
    </row>
    <row r="68" spans="1:7" ht="12.75">
      <c r="A68" s="497" t="s">
        <v>260</v>
      </c>
      <c r="B68" s="494"/>
      <c r="C68" s="495"/>
      <c r="D68" s="475"/>
      <c r="E68" s="475">
        <v>7807</v>
      </c>
      <c r="F68" s="476" t="s">
        <v>275</v>
      </c>
      <c r="G68" s="474" t="s">
        <v>234</v>
      </c>
    </row>
    <row r="69" spans="1:7" ht="12.75">
      <c r="A69" s="498" t="s">
        <v>190</v>
      </c>
      <c r="B69" s="498"/>
      <c r="C69" s="498"/>
      <c r="D69" s="475">
        <v>269</v>
      </c>
      <c r="E69" s="475"/>
      <c r="F69" s="476" t="s">
        <v>275</v>
      </c>
      <c r="G69" s="474" t="s">
        <v>234</v>
      </c>
    </row>
    <row r="70" spans="1:7" ht="12.75">
      <c r="A70" s="498" t="s">
        <v>189</v>
      </c>
      <c r="B70" s="498"/>
      <c r="C70" s="498"/>
      <c r="D70" s="475">
        <v>13.5</v>
      </c>
      <c r="E70" s="475"/>
      <c r="F70" s="476" t="s">
        <v>275</v>
      </c>
      <c r="G70" s="474" t="s">
        <v>234</v>
      </c>
    </row>
    <row r="71" spans="1:7" ht="12.75">
      <c r="A71" s="498" t="s">
        <v>191</v>
      </c>
      <c r="B71" s="498"/>
      <c r="C71" s="498"/>
      <c r="D71" s="475">
        <v>8000</v>
      </c>
      <c r="E71" s="475"/>
      <c r="F71" s="476" t="s">
        <v>275</v>
      </c>
      <c r="G71" s="474" t="s">
        <v>234</v>
      </c>
    </row>
    <row r="72" spans="1:7" ht="12.75">
      <c r="A72" s="498" t="s">
        <v>278</v>
      </c>
      <c r="B72" s="498"/>
      <c r="C72" s="498"/>
      <c r="D72" s="475"/>
      <c r="E72" s="475">
        <v>269</v>
      </c>
      <c r="F72" s="476" t="s">
        <v>275</v>
      </c>
      <c r="G72" s="474" t="s">
        <v>234</v>
      </c>
    </row>
    <row r="73" spans="1:7" ht="12.75">
      <c r="A73" s="498" t="s">
        <v>279</v>
      </c>
      <c r="B73" s="498"/>
      <c r="C73" s="498"/>
      <c r="D73" s="475"/>
      <c r="E73" s="475">
        <v>13.5</v>
      </c>
      <c r="F73" s="476" t="s">
        <v>275</v>
      </c>
      <c r="G73" s="474" t="s">
        <v>234</v>
      </c>
    </row>
    <row r="74" spans="1:7" ht="12.75">
      <c r="A74" s="498" t="s">
        <v>280</v>
      </c>
      <c r="B74" s="498"/>
      <c r="C74" s="498"/>
      <c r="D74" s="475"/>
      <c r="E74" s="475">
        <v>8000</v>
      </c>
      <c r="F74" s="476" t="s">
        <v>275</v>
      </c>
      <c r="G74" s="474" t="s">
        <v>234</v>
      </c>
    </row>
    <row r="75" spans="1:7" ht="12.75">
      <c r="A75" s="498" t="s">
        <v>190</v>
      </c>
      <c r="B75" s="498"/>
      <c r="C75" s="498"/>
      <c r="D75" s="475">
        <v>506</v>
      </c>
      <c r="E75" s="475"/>
      <c r="F75" s="476" t="s">
        <v>275</v>
      </c>
      <c r="G75" s="474" t="s">
        <v>234</v>
      </c>
    </row>
    <row r="76" spans="1:7" ht="12.75">
      <c r="A76" s="498" t="s">
        <v>189</v>
      </c>
      <c r="B76" s="498"/>
      <c r="C76" s="498"/>
      <c r="D76" s="475">
        <v>27</v>
      </c>
      <c r="E76" s="475"/>
      <c r="F76" s="476" t="s">
        <v>275</v>
      </c>
      <c r="G76" s="474" t="s">
        <v>234</v>
      </c>
    </row>
    <row r="77" spans="1:7" ht="12.75">
      <c r="A77" s="498" t="s">
        <v>191</v>
      </c>
      <c r="B77" s="498"/>
      <c r="C77" s="498"/>
      <c r="D77" s="475">
        <v>1200</v>
      </c>
      <c r="E77" s="475"/>
      <c r="F77" s="476" t="s">
        <v>275</v>
      </c>
      <c r="G77" s="474" t="s">
        <v>234</v>
      </c>
    </row>
    <row r="78" spans="1:7" ht="12.75">
      <c r="A78" s="498" t="s">
        <v>278</v>
      </c>
      <c r="B78" s="498"/>
      <c r="C78" s="498"/>
      <c r="D78" s="475"/>
      <c r="E78" s="475">
        <v>506</v>
      </c>
      <c r="F78" s="476" t="s">
        <v>275</v>
      </c>
      <c r="G78" s="474" t="s">
        <v>234</v>
      </c>
    </row>
    <row r="79" spans="1:7" ht="12.75">
      <c r="A79" s="498" t="s">
        <v>279</v>
      </c>
      <c r="B79" s="498"/>
      <c r="C79" s="498"/>
      <c r="D79" s="475"/>
      <c r="E79" s="475">
        <v>27</v>
      </c>
      <c r="F79" s="476" t="s">
        <v>275</v>
      </c>
      <c r="G79" s="474" t="s">
        <v>234</v>
      </c>
    </row>
    <row r="80" spans="1:7" ht="12.75">
      <c r="A80" s="497" t="s">
        <v>280</v>
      </c>
      <c r="B80" s="494"/>
      <c r="C80" s="495"/>
      <c r="D80" s="475"/>
      <c r="E80" s="475">
        <v>1200</v>
      </c>
      <c r="F80" s="476" t="s">
        <v>275</v>
      </c>
      <c r="G80" s="474" t="s">
        <v>234</v>
      </c>
    </row>
    <row r="81" spans="1:7" ht="12.75">
      <c r="A81" s="497" t="s">
        <v>260</v>
      </c>
      <c r="B81" s="494"/>
      <c r="C81" s="495"/>
      <c r="D81" s="475">
        <v>10000</v>
      </c>
      <c r="E81" s="475"/>
      <c r="F81" s="476" t="s">
        <v>275</v>
      </c>
      <c r="G81" s="474" t="s">
        <v>234</v>
      </c>
    </row>
    <row r="82" spans="1:7" ht="12.75">
      <c r="A82" s="497" t="s">
        <v>281</v>
      </c>
      <c r="B82" s="494"/>
      <c r="C82" s="495"/>
      <c r="D82" s="475"/>
      <c r="E82" s="475">
        <v>10000</v>
      </c>
      <c r="F82" s="476" t="s">
        <v>275</v>
      </c>
      <c r="G82" s="474" t="s">
        <v>234</v>
      </c>
    </row>
    <row r="83" spans="1:7" ht="12.75">
      <c r="A83" s="497" t="s">
        <v>282</v>
      </c>
      <c r="B83" s="494"/>
      <c r="C83" s="495"/>
      <c r="D83" s="475">
        <v>30000</v>
      </c>
      <c r="E83" s="475"/>
      <c r="F83" s="476" t="s">
        <v>275</v>
      </c>
      <c r="G83" s="474" t="s">
        <v>234</v>
      </c>
    </row>
    <row r="84" spans="1:7" ht="12.75">
      <c r="A84" s="497" t="s">
        <v>283</v>
      </c>
      <c r="B84" s="494"/>
      <c r="C84" s="495"/>
      <c r="D84" s="475"/>
      <c r="E84" s="475">
        <v>24000</v>
      </c>
      <c r="F84" s="476" t="s">
        <v>275</v>
      </c>
      <c r="G84" s="474" t="s">
        <v>234</v>
      </c>
    </row>
    <row r="85" spans="1:7" ht="12.75">
      <c r="A85" s="497" t="s">
        <v>284</v>
      </c>
      <c r="B85" s="494"/>
      <c r="C85" s="495"/>
      <c r="D85" s="475"/>
      <c r="E85" s="475">
        <v>6000</v>
      </c>
      <c r="F85" s="476" t="s">
        <v>275</v>
      </c>
      <c r="G85" s="474" t="s">
        <v>234</v>
      </c>
    </row>
    <row r="86" spans="1:7" ht="12.75">
      <c r="A86" s="497" t="s">
        <v>285</v>
      </c>
      <c r="B86" s="494"/>
      <c r="C86" s="495"/>
      <c r="D86" s="475">
        <v>12000</v>
      </c>
      <c r="E86" s="475"/>
      <c r="F86" s="476" t="s">
        <v>275</v>
      </c>
      <c r="G86" s="474" t="s">
        <v>234</v>
      </c>
    </row>
    <row r="87" spans="1:7" ht="12.75">
      <c r="A87" s="497" t="s">
        <v>286</v>
      </c>
      <c r="B87" s="494"/>
      <c r="C87" s="495"/>
      <c r="D87" s="475">
        <v>48000</v>
      </c>
      <c r="E87" s="475"/>
      <c r="F87" s="476" t="s">
        <v>275</v>
      </c>
      <c r="G87" s="474" t="s">
        <v>234</v>
      </c>
    </row>
    <row r="88" spans="1:7" ht="12.75">
      <c r="A88" s="497" t="s">
        <v>287</v>
      </c>
      <c r="B88" s="494"/>
      <c r="C88" s="495"/>
      <c r="D88" s="475"/>
      <c r="E88" s="475">
        <v>60000</v>
      </c>
      <c r="F88" s="476" t="s">
        <v>275</v>
      </c>
      <c r="G88" s="474" t="s">
        <v>234</v>
      </c>
    </row>
    <row r="89" spans="1:7" ht="12.75">
      <c r="A89" s="507" t="s">
        <v>217</v>
      </c>
      <c r="B89" s="507"/>
      <c r="C89" s="507"/>
      <c r="D89" s="465"/>
      <c r="E89" s="465"/>
      <c r="F89" s="466"/>
      <c r="G89" s="464"/>
    </row>
    <row r="90" spans="1:7" ht="12.75">
      <c r="A90" s="498" t="s">
        <v>220</v>
      </c>
      <c r="B90" s="498"/>
      <c r="C90" s="498"/>
      <c r="D90" s="475">
        <v>4500</v>
      </c>
      <c r="E90" s="475"/>
      <c r="F90" s="476" t="s">
        <v>288</v>
      </c>
      <c r="G90" s="474" t="s">
        <v>234</v>
      </c>
    </row>
    <row r="91" spans="1:7" ht="12.75">
      <c r="A91" s="497" t="s">
        <v>221</v>
      </c>
      <c r="B91" s="494"/>
      <c r="C91" s="495"/>
      <c r="D91" s="475">
        <v>3640</v>
      </c>
      <c r="E91" s="475"/>
      <c r="F91" s="476" t="s">
        <v>288</v>
      </c>
      <c r="G91" s="474" t="s">
        <v>234</v>
      </c>
    </row>
    <row r="92" spans="1:7" ht="12.75">
      <c r="A92" s="498" t="s">
        <v>289</v>
      </c>
      <c r="B92" s="498"/>
      <c r="C92" s="498"/>
      <c r="D92" s="475"/>
      <c r="E92" s="475">
        <v>3600</v>
      </c>
      <c r="F92" s="476" t="s">
        <v>288</v>
      </c>
      <c r="G92" s="474" t="s">
        <v>234</v>
      </c>
    </row>
    <row r="93" spans="1:7" ht="12.75">
      <c r="A93" s="498" t="s">
        <v>290</v>
      </c>
      <c r="B93" s="498"/>
      <c r="C93" s="498"/>
      <c r="D93" s="475"/>
      <c r="E93" s="475">
        <v>2426.66</v>
      </c>
      <c r="F93" s="476" t="s">
        <v>288</v>
      </c>
      <c r="G93" s="474" t="s">
        <v>234</v>
      </c>
    </row>
    <row r="94" spans="1:7" ht="12.75">
      <c r="A94" s="498" t="s">
        <v>260</v>
      </c>
      <c r="B94" s="498"/>
      <c r="C94" s="498"/>
      <c r="D94" s="475"/>
      <c r="E94" s="475">
        <v>2113.34</v>
      </c>
      <c r="F94" s="476" t="s">
        <v>288</v>
      </c>
      <c r="G94" s="474" t="s">
        <v>234</v>
      </c>
    </row>
    <row r="95" spans="1:7" ht="12.75">
      <c r="A95" s="498" t="s">
        <v>188</v>
      </c>
      <c r="B95" s="498"/>
      <c r="C95" s="498"/>
      <c r="D95" s="475">
        <v>600</v>
      </c>
      <c r="E95" s="475"/>
      <c r="F95" s="476" t="s">
        <v>288</v>
      </c>
      <c r="G95" s="474" t="s">
        <v>234</v>
      </c>
    </row>
    <row r="96" spans="1:7" ht="12.75">
      <c r="A96" s="498" t="s">
        <v>192</v>
      </c>
      <c r="B96" s="498"/>
      <c r="C96" s="498"/>
      <c r="D96" s="475">
        <v>933.33</v>
      </c>
      <c r="E96" s="475"/>
      <c r="F96" s="476" t="s">
        <v>288</v>
      </c>
      <c r="G96" s="474" t="s">
        <v>234</v>
      </c>
    </row>
    <row r="97" spans="1:7" ht="12.75">
      <c r="A97" s="498" t="s">
        <v>289</v>
      </c>
      <c r="B97" s="498"/>
      <c r="C97" s="498"/>
      <c r="D97" s="475"/>
      <c r="E97" s="475">
        <v>600</v>
      </c>
      <c r="F97" s="476" t="s">
        <v>288</v>
      </c>
      <c r="G97" s="474" t="s">
        <v>234</v>
      </c>
    </row>
    <row r="98" spans="1:7" ht="12.75">
      <c r="A98" s="498" t="s">
        <v>290</v>
      </c>
      <c r="B98" s="498"/>
      <c r="C98" s="498"/>
      <c r="D98" s="475"/>
      <c r="E98" s="475">
        <v>933.33</v>
      </c>
      <c r="F98" s="476" t="s">
        <v>288</v>
      </c>
      <c r="G98" s="474" t="s">
        <v>234</v>
      </c>
    </row>
    <row r="99" spans="1:7" ht="12.75">
      <c r="A99" s="498" t="s">
        <v>188</v>
      </c>
      <c r="B99" s="498"/>
      <c r="C99" s="498"/>
      <c r="D99" s="475">
        <v>1200</v>
      </c>
      <c r="E99" s="475"/>
      <c r="F99" s="476" t="s">
        <v>288</v>
      </c>
      <c r="G99" s="474" t="s">
        <v>234</v>
      </c>
    </row>
    <row r="100" spans="1:7" ht="12.75">
      <c r="A100" s="498" t="s">
        <v>192</v>
      </c>
      <c r="B100" s="498"/>
      <c r="C100" s="498"/>
      <c r="D100" s="475">
        <v>1493.34</v>
      </c>
      <c r="E100" s="475"/>
      <c r="F100" s="476" t="s">
        <v>288</v>
      </c>
      <c r="G100" s="474" t="s">
        <v>234</v>
      </c>
    </row>
    <row r="101" spans="1:7" ht="12.75">
      <c r="A101" s="498" t="s">
        <v>289</v>
      </c>
      <c r="B101" s="498"/>
      <c r="C101" s="498"/>
      <c r="D101" s="475"/>
      <c r="E101" s="475">
        <v>1200</v>
      </c>
      <c r="F101" s="476" t="s">
        <v>288</v>
      </c>
      <c r="G101" s="474" t="s">
        <v>234</v>
      </c>
    </row>
    <row r="102" spans="1:10" ht="12.75">
      <c r="A102" s="498" t="s">
        <v>290</v>
      </c>
      <c r="B102" s="498"/>
      <c r="C102" s="498"/>
      <c r="D102" s="475"/>
      <c r="E102" s="475">
        <v>1493.34</v>
      </c>
      <c r="F102" s="476" t="s">
        <v>288</v>
      </c>
      <c r="G102" s="474" t="s">
        <v>234</v>
      </c>
      <c r="I102" s="473"/>
      <c r="J102" s="473"/>
    </row>
    <row r="103" spans="1:7" ht="12.75">
      <c r="A103" s="507" t="s">
        <v>291</v>
      </c>
      <c r="B103" s="507"/>
      <c r="C103" s="507"/>
      <c r="D103" s="465"/>
      <c r="E103" s="465"/>
      <c r="F103" s="466"/>
      <c r="G103" s="464"/>
    </row>
    <row r="104" spans="1:7" ht="12.75">
      <c r="A104" s="498" t="s">
        <v>292</v>
      </c>
      <c r="B104" s="498"/>
      <c r="C104" s="498"/>
      <c r="D104" s="475">
        <v>3484.27</v>
      </c>
      <c r="E104" s="475"/>
      <c r="F104" s="476" t="s">
        <v>293</v>
      </c>
      <c r="G104" s="474" t="s">
        <v>234</v>
      </c>
    </row>
    <row r="105" spans="1:7" ht="12.75">
      <c r="A105" s="498" t="s">
        <v>294</v>
      </c>
      <c r="B105" s="498"/>
      <c r="C105" s="498"/>
      <c r="D105" s="475"/>
      <c r="E105" s="475">
        <v>3484.27</v>
      </c>
      <c r="F105" s="476" t="s">
        <v>293</v>
      </c>
      <c r="G105" s="474" t="s">
        <v>234</v>
      </c>
    </row>
    <row r="106" spans="1:7" ht="12.75">
      <c r="A106" s="498" t="s">
        <v>292</v>
      </c>
      <c r="B106" s="498"/>
      <c r="C106" s="498"/>
      <c r="D106" s="475">
        <v>59.41</v>
      </c>
      <c r="E106" s="475"/>
      <c r="F106" s="476" t="s">
        <v>295</v>
      </c>
      <c r="G106" s="474" t="s">
        <v>234</v>
      </c>
    </row>
    <row r="107" spans="1:7" ht="12.75">
      <c r="A107" s="498" t="s">
        <v>296</v>
      </c>
      <c r="B107" s="498"/>
      <c r="C107" s="498"/>
      <c r="D107" s="475"/>
      <c r="E107" s="475">
        <v>59.41</v>
      </c>
      <c r="F107" s="476" t="s">
        <v>295</v>
      </c>
      <c r="G107" s="474" t="s">
        <v>234</v>
      </c>
    </row>
    <row r="108" spans="1:7" ht="12.75">
      <c r="A108" s="507" t="s">
        <v>297</v>
      </c>
      <c r="B108" s="507"/>
      <c r="C108" s="507"/>
      <c r="D108" s="465"/>
      <c r="E108" s="465"/>
      <c r="F108" s="466"/>
      <c r="G108" s="464"/>
    </row>
    <row r="109" spans="1:7" ht="12.75">
      <c r="A109" s="498" t="s">
        <v>292</v>
      </c>
      <c r="B109" s="498"/>
      <c r="C109" s="498"/>
      <c r="D109" s="475">
        <v>1154.26</v>
      </c>
      <c r="E109" s="475"/>
      <c r="F109" s="476" t="s">
        <v>298</v>
      </c>
      <c r="G109" s="474" t="s">
        <v>234</v>
      </c>
    </row>
    <row r="110" spans="1:7" ht="12.75">
      <c r="A110" s="498" t="s">
        <v>299</v>
      </c>
      <c r="B110" s="498"/>
      <c r="C110" s="498"/>
      <c r="D110" s="475"/>
      <c r="E110" s="475">
        <v>1154.26</v>
      </c>
      <c r="F110" s="476" t="s">
        <v>298</v>
      </c>
      <c r="G110" s="474" t="s">
        <v>234</v>
      </c>
    </row>
    <row r="111" spans="1:7" ht="12.75">
      <c r="A111" s="507" t="s">
        <v>300</v>
      </c>
      <c r="B111" s="507"/>
      <c r="C111" s="507"/>
      <c r="D111" s="465"/>
      <c r="E111" s="465"/>
      <c r="F111" s="466"/>
      <c r="G111" s="464"/>
    </row>
    <row r="112" spans="1:7" ht="12.75">
      <c r="A112" s="498" t="s">
        <v>205</v>
      </c>
      <c r="B112" s="498"/>
      <c r="C112" s="498"/>
      <c r="D112" s="475">
        <v>849.1</v>
      </c>
      <c r="E112" s="475"/>
      <c r="F112" s="476" t="s">
        <v>301</v>
      </c>
      <c r="G112" s="474" t="s">
        <v>234</v>
      </c>
    </row>
    <row r="113" spans="1:7" ht="12.75">
      <c r="A113" s="498" t="s">
        <v>195</v>
      </c>
      <c r="B113" s="498"/>
      <c r="C113" s="498"/>
      <c r="D113" s="475">
        <v>260.67</v>
      </c>
      <c r="E113" s="475"/>
      <c r="F113" s="476" t="s">
        <v>301</v>
      </c>
      <c r="G113" s="474" t="s">
        <v>234</v>
      </c>
    </row>
    <row r="114" spans="1:7" ht="12.75">
      <c r="A114" s="498" t="s">
        <v>260</v>
      </c>
      <c r="B114" s="498"/>
      <c r="C114" s="498"/>
      <c r="D114" s="475"/>
      <c r="E114" s="475">
        <v>1109.77</v>
      </c>
      <c r="F114" s="476" t="s">
        <v>301</v>
      </c>
      <c r="G114" s="474" t="s">
        <v>234</v>
      </c>
    </row>
    <row r="115" spans="1:7" ht="12.75">
      <c r="A115" s="507" t="s">
        <v>302</v>
      </c>
      <c r="B115" s="507"/>
      <c r="C115" s="507"/>
      <c r="D115" s="465"/>
      <c r="E115" s="465"/>
      <c r="F115" s="466"/>
      <c r="G115" s="464"/>
    </row>
    <row r="116" spans="1:7" ht="12.75">
      <c r="A116" s="498" t="s">
        <v>260</v>
      </c>
      <c r="B116" s="498"/>
      <c r="C116" s="498"/>
      <c r="D116" s="475">
        <v>102400</v>
      </c>
      <c r="E116" s="475"/>
      <c r="F116" s="476"/>
      <c r="G116" s="474" t="s">
        <v>234</v>
      </c>
    </row>
    <row r="117" spans="1:7" ht="12.75">
      <c r="A117" s="498" t="s">
        <v>303</v>
      </c>
      <c r="B117" s="498"/>
      <c r="C117" s="498"/>
      <c r="D117" s="475"/>
      <c r="E117" s="475">
        <v>75000</v>
      </c>
      <c r="F117" s="476"/>
      <c r="G117" s="474" t="s">
        <v>234</v>
      </c>
    </row>
    <row r="118" spans="1:7" ht="12.75">
      <c r="A118" s="498" t="s">
        <v>31</v>
      </c>
      <c r="B118" s="498"/>
      <c r="C118" s="498"/>
      <c r="D118" s="475"/>
      <c r="E118" s="475">
        <v>15000</v>
      </c>
      <c r="F118" s="476"/>
      <c r="G118" s="474" t="s">
        <v>234</v>
      </c>
    </row>
    <row r="119" spans="1:7" ht="12.75">
      <c r="A119" s="498" t="s">
        <v>122</v>
      </c>
      <c r="B119" s="498"/>
      <c r="C119" s="498"/>
      <c r="D119" s="475"/>
      <c r="E119" s="475">
        <v>12400</v>
      </c>
      <c r="F119" s="476"/>
      <c r="G119" s="474" t="s">
        <v>234</v>
      </c>
    </row>
    <row r="120" spans="1:7" ht="12.75">
      <c r="A120" s="507" t="s">
        <v>304</v>
      </c>
      <c r="B120" s="507"/>
      <c r="C120" s="507"/>
      <c r="D120" s="465"/>
      <c r="E120" s="465"/>
      <c r="F120" s="466"/>
      <c r="G120" s="464"/>
    </row>
    <row r="121" spans="1:7" ht="12.75">
      <c r="A121" s="498" t="s">
        <v>193</v>
      </c>
      <c r="B121" s="498"/>
      <c r="C121" s="498"/>
      <c r="D121" s="475">
        <v>222.98</v>
      </c>
      <c r="E121" s="475"/>
      <c r="F121" s="476"/>
      <c r="G121" s="474" t="s">
        <v>234</v>
      </c>
    </row>
    <row r="122" spans="1:7" ht="12.75">
      <c r="A122" s="498" t="s">
        <v>194</v>
      </c>
      <c r="B122" s="498" t="s">
        <v>194</v>
      </c>
      <c r="C122" s="498" t="s">
        <v>194</v>
      </c>
      <c r="D122" s="475">
        <v>888.75</v>
      </c>
      <c r="E122" s="475"/>
      <c r="F122" s="476"/>
      <c r="G122" s="474" t="s">
        <v>234</v>
      </c>
    </row>
    <row r="123" spans="1:7" ht="12.75">
      <c r="A123" s="498" t="s">
        <v>196</v>
      </c>
      <c r="B123" s="498" t="s">
        <v>196</v>
      </c>
      <c r="C123" s="498" t="s">
        <v>196</v>
      </c>
      <c r="D123" s="475">
        <v>429.45</v>
      </c>
      <c r="E123" s="475"/>
      <c r="F123" s="476"/>
      <c r="G123" s="474" t="s">
        <v>234</v>
      </c>
    </row>
    <row r="124" spans="1:7" ht="12.75">
      <c r="A124" s="498" t="s">
        <v>198</v>
      </c>
      <c r="B124" s="498" t="s">
        <v>198</v>
      </c>
      <c r="C124" s="498" t="s">
        <v>198</v>
      </c>
      <c r="D124" s="475">
        <v>437.6</v>
      </c>
      <c r="E124" s="475"/>
      <c r="F124" s="476"/>
      <c r="G124" s="474" t="s">
        <v>234</v>
      </c>
    </row>
    <row r="125" spans="1:7" ht="12.75">
      <c r="A125" s="498" t="s">
        <v>199</v>
      </c>
      <c r="B125" s="498" t="s">
        <v>199</v>
      </c>
      <c r="C125" s="498" t="s">
        <v>199</v>
      </c>
      <c r="D125" s="475">
        <v>528</v>
      </c>
      <c r="E125" s="475"/>
      <c r="F125" s="476"/>
      <c r="G125" s="474" t="s">
        <v>234</v>
      </c>
    </row>
    <row r="126" spans="1:7" ht="12.75">
      <c r="A126" s="498" t="s">
        <v>200</v>
      </c>
      <c r="B126" s="498" t="s">
        <v>200</v>
      </c>
      <c r="C126" s="498" t="s">
        <v>200</v>
      </c>
      <c r="D126" s="475">
        <v>1162.5</v>
      </c>
      <c r="E126" s="475"/>
      <c r="F126" s="476"/>
      <c r="G126" s="474" t="s">
        <v>234</v>
      </c>
    </row>
    <row r="127" spans="1:7" ht="12.75">
      <c r="A127" s="498" t="s">
        <v>201</v>
      </c>
      <c r="B127" s="498" t="s">
        <v>201</v>
      </c>
      <c r="C127" s="498" t="s">
        <v>201</v>
      </c>
      <c r="D127" s="475">
        <v>407.9</v>
      </c>
      <c r="E127" s="475"/>
      <c r="F127" s="476"/>
      <c r="G127" s="474" t="s">
        <v>234</v>
      </c>
    </row>
    <row r="128" spans="1:7" ht="12.75">
      <c r="A128" s="498" t="s">
        <v>202</v>
      </c>
      <c r="B128" s="498" t="s">
        <v>202</v>
      </c>
      <c r="C128" s="498" t="s">
        <v>202</v>
      </c>
      <c r="D128" s="475">
        <v>2781.9</v>
      </c>
      <c r="E128" s="475"/>
      <c r="F128" s="476"/>
      <c r="G128" s="474" t="s">
        <v>234</v>
      </c>
    </row>
    <row r="129" spans="1:7" ht="12.75">
      <c r="A129" s="498" t="s">
        <v>203</v>
      </c>
      <c r="B129" s="498" t="s">
        <v>203</v>
      </c>
      <c r="C129" s="498" t="s">
        <v>203</v>
      </c>
      <c r="D129" s="475">
        <v>320</v>
      </c>
      <c r="E129" s="475"/>
      <c r="F129" s="476"/>
      <c r="G129" s="474" t="s">
        <v>234</v>
      </c>
    </row>
    <row r="130" spans="1:7" ht="12.75">
      <c r="A130" s="498" t="s">
        <v>204</v>
      </c>
      <c r="B130" s="498" t="s">
        <v>204</v>
      </c>
      <c r="C130" s="498" t="s">
        <v>204</v>
      </c>
      <c r="D130" s="475">
        <v>1092.8</v>
      </c>
      <c r="E130" s="475"/>
      <c r="F130" s="476"/>
      <c r="G130" s="474" t="s">
        <v>234</v>
      </c>
    </row>
    <row r="131" spans="1:7" ht="12.75">
      <c r="A131" s="498" t="s">
        <v>206</v>
      </c>
      <c r="B131" s="498" t="s">
        <v>206</v>
      </c>
      <c r="C131" s="498" t="s">
        <v>206</v>
      </c>
      <c r="D131" s="475">
        <v>277.7</v>
      </c>
      <c r="E131" s="475"/>
      <c r="F131" s="476"/>
      <c r="G131" s="474" t="s">
        <v>234</v>
      </c>
    </row>
    <row r="132" spans="1:7" ht="12.75">
      <c r="A132" s="498" t="s">
        <v>260</v>
      </c>
      <c r="B132" s="498"/>
      <c r="C132" s="498"/>
      <c r="D132" s="475"/>
      <c r="E132" s="475">
        <f>SUM(D121:D131)</f>
        <v>8549.58</v>
      </c>
      <c r="F132" s="476"/>
      <c r="G132" s="474" t="s">
        <v>234</v>
      </c>
    </row>
    <row r="133" spans="1:7" ht="12.75">
      <c r="A133" s="507"/>
      <c r="B133" s="507"/>
      <c r="C133" s="507"/>
      <c r="D133" s="465"/>
      <c r="E133" s="465"/>
      <c r="F133" s="466"/>
      <c r="G133" s="464"/>
    </row>
    <row r="134" spans="1:7" ht="12.75">
      <c r="A134" s="498"/>
      <c r="B134" s="498"/>
      <c r="C134" s="498"/>
      <c r="D134" s="475"/>
      <c r="E134" s="475"/>
      <c r="F134" s="476"/>
      <c r="G134" s="474"/>
    </row>
    <row r="135" spans="1:7" ht="12.75">
      <c r="A135" s="496" t="s">
        <v>57</v>
      </c>
      <c r="B135" s="496"/>
      <c r="C135" s="496"/>
      <c r="D135" s="477">
        <f>SUM(D7:D134)</f>
        <v>434957.16000000003</v>
      </c>
      <c r="E135" s="477">
        <f>SUM(E7:E134)</f>
        <v>434957.1600000001</v>
      </c>
      <c r="F135" s="476"/>
      <c r="G135" s="474"/>
    </row>
    <row r="136" spans="1:7" ht="12.75">
      <c r="A136" s="498"/>
      <c r="B136" s="498"/>
      <c r="C136" s="498"/>
      <c r="D136" s="475"/>
      <c r="E136" s="475"/>
      <c r="F136" s="476"/>
      <c r="G136" s="474"/>
    </row>
    <row r="137" spans="1:7" ht="12.75">
      <c r="A137" s="498"/>
      <c r="B137" s="498"/>
      <c r="C137" s="498"/>
      <c r="D137" s="475"/>
      <c r="E137" s="475"/>
      <c r="F137" s="476"/>
      <c r="G137" s="474"/>
    </row>
    <row r="138" spans="1:7" ht="12.75">
      <c r="A138" s="498"/>
      <c r="B138" s="498"/>
      <c r="C138" s="498"/>
      <c r="D138" s="475"/>
      <c r="E138" s="475"/>
      <c r="F138" s="476"/>
      <c r="G138" s="474"/>
    </row>
    <row r="139" spans="1:7" ht="12.75">
      <c r="A139" s="498"/>
      <c r="B139" s="498"/>
      <c r="C139" s="498"/>
      <c r="D139" s="475"/>
      <c r="E139" s="475"/>
      <c r="F139" s="476"/>
      <c r="G139" s="474"/>
    </row>
    <row r="140" spans="1:7" ht="12.75">
      <c r="A140" s="498"/>
      <c r="B140" s="498"/>
      <c r="C140" s="498"/>
      <c r="D140" s="475"/>
      <c r="E140" s="475"/>
      <c r="F140" s="476"/>
      <c r="G140" s="474"/>
    </row>
    <row r="141" spans="1:7" ht="12.75">
      <c r="A141" s="498"/>
      <c r="B141" s="498"/>
      <c r="C141" s="498"/>
      <c r="D141" s="475"/>
      <c r="E141" s="475"/>
      <c r="F141" s="476"/>
      <c r="G141" s="474"/>
    </row>
    <row r="142" spans="1:7" ht="12.75">
      <c r="A142" s="498"/>
      <c r="B142" s="498"/>
      <c r="C142" s="498"/>
      <c r="D142" s="475"/>
      <c r="E142" s="475"/>
      <c r="F142" s="476"/>
      <c r="G142" s="474"/>
    </row>
    <row r="143" spans="1:7" ht="12.75">
      <c r="A143" s="498"/>
      <c r="B143" s="498"/>
      <c r="C143" s="498"/>
      <c r="D143" s="475"/>
      <c r="E143" s="475"/>
      <c r="F143" s="476"/>
      <c r="G143" s="474"/>
    </row>
    <row r="144" spans="1:7" ht="12.75">
      <c r="A144" s="498"/>
      <c r="B144" s="498"/>
      <c r="C144" s="498"/>
      <c r="D144" s="475"/>
      <c r="E144" s="475"/>
      <c r="F144" s="476"/>
      <c r="G144" s="474"/>
    </row>
    <row r="145" spans="1:7" ht="12.75">
      <c r="A145" s="498"/>
      <c r="B145" s="498"/>
      <c r="C145" s="498"/>
      <c r="D145" s="475"/>
      <c r="E145" s="475"/>
      <c r="F145" s="476"/>
      <c r="G145" s="474"/>
    </row>
    <row r="146" spans="1:7" ht="12.75">
      <c r="A146" s="498"/>
      <c r="B146" s="498"/>
      <c r="C146" s="498"/>
      <c r="D146" s="475"/>
      <c r="E146" s="475"/>
      <c r="F146" s="476"/>
      <c r="G146" s="474"/>
    </row>
    <row r="147" spans="1:7" ht="12.75">
      <c r="A147" s="498"/>
      <c r="B147" s="498"/>
      <c r="C147" s="498"/>
      <c r="D147" s="475"/>
      <c r="E147" s="475"/>
      <c r="F147" s="476"/>
      <c r="G147" s="474"/>
    </row>
    <row r="148" spans="1:7" ht="12.75">
      <c r="A148" s="498"/>
      <c r="B148" s="498"/>
      <c r="C148" s="498"/>
      <c r="D148" s="475"/>
      <c r="E148" s="475"/>
      <c r="F148" s="476"/>
      <c r="G148" s="474"/>
    </row>
    <row r="149" spans="1:7" ht="12.75">
      <c r="A149" s="498"/>
      <c r="B149" s="498"/>
      <c r="C149" s="498"/>
      <c r="D149" s="475"/>
      <c r="E149" s="475"/>
      <c r="F149" s="476"/>
      <c r="G149" s="474"/>
    </row>
    <row r="150" spans="1:7" ht="12.75">
      <c r="A150" s="498"/>
      <c r="B150" s="498"/>
      <c r="C150" s="498"/>
      <c r="D150" s="475"/>
      <c r="E150" s="475"/>
      <c r="F150" s="476"/>
      <c r="G150" s="474"/>
    </row>
    <row r="151" spans="1:7" ht="12.75">
      <c r="A151" s="498"/>
      <c r="B151" s="498"/>
      <c r="C151" s="498"/>
      <c r="D151" s="475"/>
      <c r="E151" s="475"/>
      <c r="F151" s="476"/>
      <c r="G151" s="474"/>
    </row>
    <row r="152" spans="1:7" ht="12.75">
      <c r="A152" s="498"/>
      <c r="B152" s="498"/>
      <c r="C152" s="498"/>
      <c r="D152" s="475"/>
      <c r="E152" s="475"/>
      <c r="F152" s="476"/>
      <c r="G152" s="474"/>
    </row>
    <row r="153" spans="1:7" ht="12.75">
      <c r="A153" s="498"/>
      <c r="B153" s="498"/>
      <c r="C153" s="498"/>
      <c r="D153" s="475"/>
      <c r="E153" s="475"/>
      <c r="F153" s="476"/>
      <c r="G153" s="474"/>
    </row>
    <row r="154" spans="1:7" ht="12.75">
      <c r="A154" s="498"/>
      <c r="B154" s="498"/>
      <c r="C154" s="498"/>
      <c r="D154" s="475"/>
      <c r="E154" s="475"/>
      <c r="F154" s="476"/>
      <c r="G154" s="474"/>
    </row>
    <row r="155" spans="1:7" ht="12.75">
      <c r="A155" s="498"/>
      <c r="B155" s="498"/>
      <c r="C155" s="498"/>
      <c r="D155" s="475"/>
      <c r="E155" s="475"/>
      <c r="F155" s="476"/>
      <c r="G155" s="474"/>
    </row>
    <row r="156" spans="1:7" ht="12.75">
      <c r="A156" s="498"/>
      <c r="B156" s="498"/>
      <c r="C156" s="498"/>
      <c r="D156" s="475"/>
      <c r="E156" s="475"/>
      <c r="F156" s="476"/>
      <c r="G156" s="474"/>
    </row>
    <row r="157" spans="1:7" ht="12.75">
      <c r="A157" s="498"/>
      <c r="B157" s="498"/>
      <c r="C157" s="498"/>
      <c r="D157" s="475"/>
      <c r="E157" s="475"/>
      <c r="F157" s="476"/>
      <c r="G157" s="474"/>
    </row>
    <row r="158" spans="1:7" ht="12.75">
      <c r="A158" s="498"/>
      <c r="B158" s="498"/>
      <c r="C158" s="498"/>
      <c r="D158" s="475"/>
      <c r="E158" s="475"/>
      <c r="F158" s="476"/>
      <c r="G158" s="474"/>
    </row>
  </sheetData>
  <mergeCells count="158">
    <mergeCell ref="A158:C158"/>
    <mergeCell ref="A154:C154"/>
    <mergeCell ref="A155:C155"/>
    <mergeCell ref="A156:C156"/>
    <mergeCell ref="A157:C157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42:C142"/>
    <mergeCell ref="A143:C143"/>
    <mergeCell ref="A144:C144"/>
    <mergeCell ref="A145:C145"/>
    <mergeCell ref="A138:C138"/>
    <mergeCell ref="A139:C139"/>
    <mergeCell ref="A140:C140"/>
    <mergeCell ref="A141:C141"/>
    <mergeCell ref="A134:C134"/>
    <mergeCell ref="A135:C135"/>
    <mergeCell ref="A136:C136"/>
    <mergeCell ref="A137:C137"/>
    <mergeCell ref="A130:C130"/>
    <mergeCell ref="A131:C131"/>
    <mergeCell ref="A132:C132"/>
    <mergeCell ref="A133:C133"/>
    <mergeCell ref="A126:C126"/>
    <mergeCell ref="A127:C127"/>
    <mergeCell ref="A128:C128"/>
    <mergeCell ref="A129:C129"/>
    <mergeCell ref="A122:C122"/>
    <mergeCell ref="A123:C123"/>
    <mergeCell ref="A124:C124"/>
    <mergeCell ref="A125:C125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11:C111"/>
    <mergeCell ref="A112:C112"/>
    <mergeCell ref="A113:C113"/>
    <mergeCell ref="A108:C108"/>
    <mergeCell ref="A109:C109"/>
    <mergeCell ref="A110:C110"/>
    <mergeCell ref="A104:C104"/>
    <mergeCell ref="A105:C105"/>
    <mergeCell ref="A106:C106"/>
    <mergeCell ref="A107:C107"/>
    <mergeCell ref="A101:C101"/>
    <mergeCell ref="A102:C102"/>
    <mergeCell ref="A103:C103"/>
    <mergeCell ref="A97:C97"/>
    <mergeCell ref="A98:C98"/>
    <mergeCell ref="A99:C99"/>
    <mergeCell ref="A100:C100"/>
    <mergeCell ref="A93:C93"/>
    <mergeCell ref="A94:C94"/>
    <mergeCell ref="A95:C95"/>
    <mergeCell ref="A96:C96"/>
    <mergeCell ref="A90:C90"/>
    <mergeCell ref="A91:C91"/>
    <mergeCell ref="A92:C92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9:C59"/>
    <mergeCell ref="A60:C60"/>
    <mergeCell ref="A61:C61"/>
    <mergeCell ref="A56:C56"/>
    <mergeCell ref="A57:C57"/>
    <mergeCell ref="A58:C58"/>
    <mergeCell ref="A52:C52"/>
    <mergeCell ref="A53:C53"/>
    <mergeCell ref="A54:C54"/>
    <mergeCell ref="A55:C55"/>
    <mergeCell ref="A49:C49"/>
    <mergeCell ref="A50:C50"/>
    <mergeCell ref="A51:C51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C6"/>
    <mergeCell ref="A7:C7"/>
    <mergeCell ref="A8:C8"/>
    <mergeCell ref="A1:B1"/>
    <mergeCell ref="C1:F1"/>
    <mergeCell ref="C2:F2"/>
    <mergeCell ref="C3:F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workbookViewId="0" topLeftCell="A43">
      <selection activeCell="A43" sqref="A43"/>
    </sheetView>
  </sheetViews>
  <sheetFormatPr defaultColWidth="11.421875" defaultRowHeight="12.75"/>
  <cols>
    <col min="1" max="1" width="1.1484375" style="336" customWidth="1"/>
    <col min="2" max="2" width="13.57421875" style="336" customWidth="1"/>
    <col min="3" max="3" width="13.7109375" style="336" customWidth="1"/>
    <col min="4" max="4" width="5.00390625" style="336" customWidth="1"/>
    <col min="5" max="6" width="5.57421875" style="336" customWidth="1"/>
    <col min="7" max="7" width="3.8515625" style="336" customWidth="1"/>
    <col min="8" max="8" width="8.421875" style="336" customWidth="1"/>
    <col min="9" max="9" width="9.28125" style="336" customWidth="1"/>
    <col min="10" max="10" width="5.57421875" style="336" customWidth="1"/>
    <col min="11" max="11" width="5.00390625" style="336" customWidth="1"/>
    <col min="12" max="12" width="5.57421875" style="336" customWidth="1"/>
    <col min="13" max="13" width="7.57421875" style="336" customWidth="1"/>
    <col min="14" max="14" width="9.421875" style="336" customWidth="1"/>
    <col min="15" max="15" width="9.7109375" style="336" customWidth="1"/>
    <col min="16" max="16" width="0.85546875" style="336" customWidth="1"/>
    <col min="17" max="16384" width="11.421875" style="336" customWidth="1"/>
  </cols>
  <sheetData>
    <row r="1" spans="1:16" ht="23.25" customHeight="1">
      <c r="A1" s="371"/>
      <c r="B1" s="620" t="str">
        <f>CARAT!B11</f>
        <v>IMAGINATE S.R.L.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372"/>
    </row>
    <row r="2" spans="1:16" ht="15.75">
      <c r="A2" s="373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74" t="s">
        <v>218</v>
      </c>
      <c r="O2" s="369"/>
      <c r="P2" s="375"/>
    </row>
    <row r="3" spans="1:16" ht="15" customHeight="1" thickBot="1">
      <c r="A3" s="373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5"/>
    </row>
    <row r="4" spans="1:16" ht="20.25" customHeight="1">
      <c r="A4" s="373"/>
      <c r="B4" s="627" t="s">
        <v>217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9"/>
      <c r="P4" s="375"/>
    </row>
    <row r="5" spans="1:16" ht="16.5" thickBot="1">
      <c r="A5" s="373"/>
      <c r="B5" s="624" t="s">
        <v>211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6"/>
      <c r="P5" s="375"/>
    </row>
    <row r="6" spans="1:16" ht="15" customHeight="1">
      <c r="A6" s="373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5"/>
    </row>
    <row r="7" spans="1:16" ht="15" customHeight="1" thickBot="1">
      <c r="A7" s="373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75"/>
    </row>
    <row r="8" spans="1:16" ht="15" customHeight="1" thickBot="1">
      <c r="A8" s="373"/>
      <c r="B8" s="377"/>
      <c r="C8" s="378" t="s">
        <v>38</v>
      </c>
      <c r="D8" s="379"/>
      <c r="E8" s="379"/>
      <c r="F8" s="379"/>
      <c r="G8" s="379"/>
      <c r="H8" s="380"/>
      <c r="I8" s="381" t="s">
        <v>39</v>
      </c>
      <c r="J8" s="382"/>
      <c r="K8" s="382"/>
      <c r="L8" s="382"/>
      <c r="M8" s="382"/>
      <c r="N8" s="383"/>
      <c r="O8" s="384" t="s">
        <v>40</v>
      </c>
      <c r="P8" s="375"/>
    </row>
    <row r="9" spans="1:16" ht="39" customHeight="1" thickBot="1">
      <c r="A9" s="373"/>
      <c r="B9" s="385" t="s">
        <v>41</v>
      </c>
      <c r="C9" s="386" t="s">
        <v>42</v>
      </c>
      <c r="D9" s="387" t="s">
        <v>43</v>
      </c>
      <c r="E9" s="388" t="s">
        <v>44</v>
      </c>
      <c r="F9" s="386" t="s">
        <v>45</v>
      </c>
      <c r="G9" s="386" t="s">
        <v>46</v>
      </c>
      <c r="H9" s="386" t="s">
        <v>47</v>
      </c>
      <c r="I9" s="386" t="s">
        <v>48</v>
      </c>
      <c r="J9" s="388" t="s">
        <v>44</v>
      </c>
      <c r="K9" s="386" t="s">
        <v>45</v>
      </c>
      <c r="L9" s="386" t="s">
        <v>46</v>
      </c>
      <c r="M9" s="386" t="s">
        <v>49</v>
      </c>
      <c r="N9" s="386" t="s">
        <v>50</v>
      </c>
      <c r="O9" s="389" t="s">
        <v>51</v>
      </c>
      <c r="P9" s="375"/>
    </row>
    <row r="10" spans="1:16" ht="24.75" customHeight="1">
      <c r="A10" s="373"/>
      <c r="B10" s="412" t="s">
        <v>220</v>
      </c>
      <c r="C10" s="391">
        <v>9000</v>
      </c>
      <c r="D10" s="392"/>
      <c r="E10" s="392"/>
      <c r="F10" s="392">
        <v>0</v>
      </c>
      <c r="G10" s="392">
        <v>0</v>
      </c>
      <c r="H10" s="392">
        <f aca="true" t="shared" si="0" ref="H10:H18">C10+D10-E10+F10-G10</f>
        <v>9000</v>
      </c>
      <c r="I10" s="392">
        <v>7200</v>
      </c>
      <c r="J10" s="392"/>
      <c r="K10" s="392">
        <v>0</v>
      </c>
      <c r="L10" s="392">
        <v>0</v>
      </c>
      <c r="M10" s="392">
        <v>1800</v>
      </c>
      <c r="N10" s="392">
        <f aca="true" t="shared" si="1" ref="N10:N18">I10-J10+K10-L10+M10</f>
        <v>9000</v>
      </c>
      <c r="O10" s="393">
        <f aca="true" t="shared" si="2" ref="O10:O18">H10-N10</f>
        <v>0</v>
      </c>
      <c r="P10" s="375"/>
    </row>
    <row r="11" spans="1:16" ht="24.75" customHeight="1">
      <c r="A11" s="373"/>
      <c r="B11" s="413" t="s">
        <v>221</v>
      </c>
      <c r="C11" s="391">
        <v>7280</v>
      </c>
      <c r="D11" s="392"/>
      <c r="E11" s="392"/>
      <c r="F11" s="392">
        <v>0</v>
      </c>
      <c r="G11" s="392">
        <v>0</v>
      </c>
      <c r="H11" s="392">
        <f t="shared" si="0"/>
        <v>7280</v>
      </c>
      <c r="I11" s="392">
        <v>4853.33</v>
      </c>
      <c r="J11" s="392"/>
      <c r="K11" s="392">
        <v>0</v>
      </c>
      <c r="L11" s="392">
        <v>0</v>
      </c>
      <c r="M11" s="392">
        <v>2426.67</v>
      </c>
      <c r="N11" s="392">
        <f t="shared" si="1"/>
        <v>7280</v>
      </c>
      <c r="O11" s="393">
        <f t="shared" si="2"/>
        <v>0</v>
      </c>
      <c r="P11" s="375"/>
    </row>
    <row r="12" spans="1:16" ht="24.75" customHeight="1">
      <c r="A12" s="373"/>
      <c r="B12" s="394"/>
      <c r="C12" s="391"/>
      <c r="D12" s="392"/>
      <c r="E12" s="392"/>
      <c r="F12" s="392">
        <v>0</v>
      </c>
      <c r="G12" s="392">
        <v>0</v>
      </c>
      <c r="H12" s="392">
        <f t="shared" si="0"/>
        <v>0</v>
      </c>
      <c r="I12" s="392"/>
      <c r="J12" s="392">
        <v>0</v>
      </c>
      <c r="K12" s="392">
        <v>0</v>
      </c>
      <c r="L12" s="392">
        <v>0</v>
      </c>
      <c r="M12" s="392"/>
      <c r="N12" s="392">
        <f t="shared" si="1"/>
        <v>0</v>
      </c>
      <c r="O12" s="393">
        <f t="shared" si="2"/>
        <v>0</v>
      </c>
      <c r="P12" s="375"/>
    </row>
    <row r="13" spans="1:16" ht="24.75" customHeight="1">
      <c r="A13" s="373"/>
      <c r="B13" s="395"/>
      <c r="C13" s="391">
        <v>0</v>
      </c>
      <c r="D13" s="392">
        <v>0</v>
      </c>
      <c r="E13" s="392">
        <v>0</v>
      </c>
      <c r="F13" s="392">
        <v>0</v>
      </c>
      <c r="G13" s="392">
        <v>0</v>
      </c>
      <c r="H13" s="392">
        <f t="shared" si="0"/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f t="shared" si="1"/>
        <v>0</v>
      </c>
      <c r="O13" s="393">
        <f t="shared" si="2"/>
        <v>0</v>
      </c>
      <c r="P13" s="375"/>
    </row>
    <row r="14" spans="1:16" ht="24.75" customHeight="1">
      <c r="A14" s="373"/>
      <c r="B14" s="394"/>
      <c r="C14" s="391">
        <v>0</v>
      </c>
      <c r="D14" s="392">
        <v>0</v>
      </c>
      <c r="E14" s="392">
        <v>0</v>
      </c>
      <c r="F14" s="392">
        <v>0</v>
      </c>
      <c r="G14" s="392">
        <v>0</v>
      </c>
      <c r="H14" s="392">
        <f t="shared" si="0"/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2">
        <f t="shared" si="1"/>
        <v>0</v>
      </c>
      <c r="O14" s="393">
        <f t="shared" si="2"/>
        <v>0</v>
      </c>
      <c r="P14" s="375"/>
    </row>
    <row r="15" spans="1:16" ht="24.75" customHeight="1">
      <c r="A15" s="373"/>
      <c r="B15" s="394"/>
      <c r="C15" s="391">
        <v>0</v>
      </c>
      <c r="D15" s="392">
        <v>0</v>
      </c>
      <c r="E15" s="392">
        <v>0</v>
      </c>
      <c r="F15" s="392">
        <v>0</v>
      </c>
      <c r="G15" s="392">
        <v>0</v>
      </c>
      <c r="H15" s="392">
        <f t="shared" si="0"/>
        <v>0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  <c r="N15" s="392">
        <f t="shared" si="1"/>
        <v>0</v>
      </c>
      <c r="O15" s="393">
        <f t="shared" si="2"/>
        <v>0</v>
      </c>
      <c r="P15" s="375"/>
    </row>
    <row r="16" spans="1:16" ht="24.75" customHeight="1">
      <c r="A16" s="373"/>
      <c r="B16" s="396"/>
      <c r="C16" s="397">
        <v>0</v>
      </c>
      <c r="D16" s="392">
        <v>0</v>
      </c>
      <c r="E16" s="392">
        <v>0</v>
      </c>
      <c r="F16" s="392">
        <v>0</v>
      </c>
      <c r="G16" s="392">
        <v>0</v>
      </c>
      <c r="H16" s="392">
        <f t="shared" si="0"/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  <c r="N16" s="392">
        <f t="shared" si="1"/>
        <v>0</v>
      </c>
      <c r="O16" s="392">
        <f t="shared" si="2"/>
        <v>0</v>
      </c>
      <c r="P16" s="375"/>
    </row>
    <row r="17" spans="1:16" ht="24.75" customHeight="1">
      <c r="A17" s="373"/>
      <c r="B17" s="396"/>
      <c r="C17" s="392">
        <v>0</v>
      </c>
      <c r="D17" s="392">
        <v>0</v>
      </c>
      <c r="E17" s="392">
        <v>0</v>
      </c>
      <c r="F17" s="392">
        <v>0</v>
      </c>
      <c r="G17" s="392">
        <v>0</v>
      </c>
      <c r="H17" s="392">
        <f t="shared" si="0"/>
        <v>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  <c r="N17" s="392">
        <f t="shared" si="1"/>
        <v>0</v>
      </c>
      <c r="O17" s="392">
        <f t="shared" si="2"/>
        <v>0</v>
      </c>
      <c r="P17" s="375"/>
    </row>
    <row r="18" spans="1:16" ht="24.75" customHeight="1" thickBot="1">
      <c r="A18" s="373"/>
      <c r="B18" s="398"/>
      <c r="C18" s="399">
        <v>0</v>
      </c>
      <c r="D18" s="399">
        <v>0</v>
      </c>
      <c r="E18" s="399">
        <v>0</v>
      </c>
      <c r="F18" s="399">
        <v>0</v>
      </c>
      <c r="G18" s="399">
        <v>0</v>
      </c>
      <c r="H18" s="399">
        <f t="shared" si="0"/>
        <v>0</v>
      </c>
      <c r="I18" s="399">
        <v>0</v>
      </c>
      <c r="J18" s="399">
        <v>0</v>
      </c>
      <c r="K18" s="399">
        <v>0</v>
      </c>
      <c r="L18" s="399">
        <v>0</v>
      </c>
      <c r="M18" s="399">
        <v>0</v>
      </c>
      <c r="N18" s="399">
        <f t="shared" si="1"/>
        <v>0</v>
      </c>
      <c r="O18" s="399">
        <f t="shared" si="2"/>
        <v>0</v>
      </c>
      <c r="P18" s="375"/>
    </row>
    <row r="19" spans="1:16" ht="24.75" customHeight="1" thickBot="1">
      <c r="A19" s="373"/>
      <c r="B19" s="414" t="s">
        <v>57</v>
      </c>
      <c r="C19" s="415">
        <f aca="true" t="shared" si="3" ref="C19:O19">SUM(C10:C18)</f>
        <v>16280</v>
      </c>
      <c r="D19" s="415">
        <f>SUM(D10:D18)</f>
        <v>0</v>
      </c>
      <c r="E19" s="415">
        <f>SUM(E10:E18)</f>
        <v>0</v>
      </c>
      <c r="F19" s="402">
        <f t="shared" si="3"/>
        <v>0</v>
      </c>
      <c r="G19" s="402">
        <f t="shared" si="3"/>
        <v>0</v>
      </c>
      <c r="H19" s="416">
        <f t="shared" si="3"/>
        <v>16280</v>
      </c>
      <c r="I19" s="416">
        <f t="shared" si="3"/>
        <v>12053.33</v>
      </c>
      <c r="J19" s="416">
        <f t="shared" si="3"/>
        <v>0</v>
      </c>
      <c r="K19" s="402">
        <f t="shared" si="3"/>
        <v>0</v>
      </c>
      <c r="L19" s="402">
        <f t="shared" si="3"/>
        <v>0</v>
      </c>
      <c r="M19" s="415">
        <f t="shared" si="3"/>
        <v>4226.67</v>
      </c>
      <c r="N19" s="415">
        <f t="shared" si="3"/>
        <v>16280</v>
      </c>
      <c r="O19" s="416">
        <f t="shared" si="3"/>
        <v>0</v>
      </c>
      <c r="P19" s="375"/>
    </row>
    <row r="20" spans="1:16" ht="19.5" customHeight="1">
      <c r="A20" s="373"/>
      <c r="B20" s="403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5"/>
      <c r="P20" s="375"/>
    </row>
    <row r="21" spans="1:16" ht="19.5" customHeight="1">
      <c r="A21" s="373"/>
      <c r="B21" s="403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5"/>
      <c r="P21" s="375"/>
    </row>
    <row r="22" spans="1:16" ht="15" customHeight="1">
      <c r="A22" s="373"/>
      <c r="B22" s="406" t="s">
        <v>70</v>
      </c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8"/>
      <c r="P22" s="375"/>
    </row>
    <row r="23" spans="1:16" ht="15" customHeight="1" thickBot="1">
      <c r="A23" s="409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1"/>
    </row>
    <row r="24" ht="15" customHeight="1"/>
    <row r="25" ht="15" customHeight="1"/>
    <row r="26" ht="15" customHeight="1"/>
    <row r="27" ht="15" customHeight="1"/>
    <row r="28" ht="15" customHeight="1"/>
  </sheetData>
  <mergeCells count="3">
    <mergeCell ref="B1:O1"/>
    <mergeCell ref="B4:O4"/>
    <mergeCell ref="B5:O5"/>
  </mergeCells>
  <printOptions/>
  <pageMargins left="0.75" right="0.75" top="1" bottom="1" header="0" footer="0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1.8515625" style="180" customWidth="1"/>
    <col min="2" max="2" width="36.28125" style="180" customWidth="1"/>
    <col min="3" max="3" width="12.00390625" style="255" bestFit="1" customWidth="1"/>
    <col min="4" max="4" width="12.00390625" style="255" customWidth="1"/>
    <col min="5" max="5" width="1.1484375" style="180" customWidth="1"/>
    <col min="6" max="6" width="31.28125" style="180" customWidth="1"/>
    <col min="7" max="7" width="12.00390625" style="255" customWidth="1"/>
    <col min="8" max="8" width="12.28125" style="255" customWidth="1"/>
    <col min="9" max="9" width="0.71875" style="180" customWidth="1"/>
    <col min="10" max="10" width="10.7109375" style="180" customWidth="1"/>
    <col min="11" max="16384" width="11.421875" style="180" customWidth="1"/>
  </cols>
  <sheetData>
    <row r="1" spans="1:9" ht="18.75" customHeight="1" thickTop="1">
      <c r="A1" s="206"/>
      <c r="B1" s="587" t="str">
        <f>CARAT!B11</f>
        <v>IMAGINATE S.R.L.</v>
      </c>
      <c r="C1" s="608"/>
      <c r="D1" s="608"/>
      <c r="E1" s="608"/>
      <c r="F1" s="608"/>
      <c r="G1" s="608"/>
      <c r="H1" s="608"/>
      <c r="I1" s="207"/>
    </row>
    <row r="2" spans="1:9" ht="18.75" customHeight="1">
      <c r="A2" s="208"/>
      <c r="B2" s="271"/>
      <c r="C2" s="272"/>
      <c r="D2" s="272"/>
      <c r="E2" s="272"/>
      <c r="F2" s="272"/>
      <c r="G2" s="272"/>
      <c r="H2" s="272"/>
      <c r="I2" s="210"/>
    </row>
    <row r="3" spans="1:9" ht="15" customHeight="1" thickBot="1">
      <c r="A3" s="208"/>
      <c r="B3" s="183"/>
      <c r="C3" s="209"/>
      <c r="D3" s="209"/>
      <c r="E3" s="183"/>
      <c r="F3" s="183"/>
      <c r="G3" s="209"/>
      <c r="H3" s="209"/>
      <c r="I3" s="210"/>
    </row>
    <row r="4" spans="1:9" ht="19.5" customHeight="1">
      <c r="A4" s="208"/>
      <c r="B4" s="630" t="s">
        <v>212</v>
      </c>
      <c r="C4" s="631"/>
      <c r="D4" s="631"/>
      <c r="E4" s="631"/>
      <c r="F4" s="631"/>
      <c r="G4" s="631"/>
      <c r="H4" s="632"/>
      <c r="I4" s="210"/>
    </row>
    <row r="5" spans="1:9" ht="22.5" customHeight="1" thickBot="1">
      <c r="A5" s="208"/>
      <c r="B5" s="270" t="s">
        <v>78</v>
      </c>
      <c r="C5" s="211"/>
      <c r="D5" s="211"/>
      <c r="E5" s="212"/>
      <c r="F5" s="212"/>
      <c r="G5" s="211"/>
      <c r="H5" s="213"/>
      <c r="I5" s="210"/>
    </row>
    <row r="6" spans="1:9" ht="15" customHeight="1" thickBot="1">
      <c r="A6" s="208"/>
      <c r="B6" s="214"/>
      <c r="C6" s="215"/>
      <c r="D6" s="215"/>
      <c r="E6" s="214"/>
      <c r="F6" s="214"/>
      <c r="G6" s="215"/>
      <c r="H6" s="215"/>
      <c r="I6" s="210"/>
    </row>
    <row r="7" spans="1:9" ht="47.25" customHeight="1" thickBot="1">
      <c r="A7" s="208"/>
      <c r="B7" s="216"/>
      <c r="C7" s="217" t="s">
        <v>117</v>
      </c>
      <c r="D7" s="217" t="s">
        <v>118</v>
      </c>
      <c r="E7" s="214"/>
      <c r="F7" s="218"/>
      <c r="G7" s="217" t="s">
        <v>117</v>
      </c>
      <c r="H7" s="219" t="s">
        <v>119</v>
      </c>
      <c r="I7" s="210"/>
    </row>
    <row r="8" spans="1:9" ht="16.5" customHeight="1">
      <c r="A8" s="208"/>
      <c r="B8" s="220" t="s">
        <v>7</v>
      </c>
      <c r="C8" s="221" t="s">
        <v>8</v>
      </c>
      <c r="D8" s="222" t="s">
        <v>8</v>
      </c>
      <c r="E8" s="214"/>
      <c r="F8" s="223" t="s">
        <v>69</v>
      </c>
      <c r="G8" s="221" t="s">
        <v>8</v>
      </c>
      <c r="H8" s="224" t="s">
        <v>8</v>
      </c>
      <c r="I8" s="210"/>
    </row>
    <row r="9" spans="1:9" ht="24" customHeight="1">
      <c r="A9" s="208"/>
      <c r="B9" s="225" t="s">
        <v>9</v>
      </c>
      <c r="C9" s="226"/>
      <c r="D9" s="227"/>
      <c r="E9" s="228"/>
      <c r="F9" s="229" t="s">
        <v>10</v>
      </c>
      <c r="G9" s="230"/>
      <c r="H9" s="230"/>
      <c r="I9" s="210"/>
    </row>
    <row r="10" spans="1:9" ht="19.5" customHeight="1">
      <c r="A10" s="208"/>
      <c r="B10" s="247" t="s">
        <v>422</v>
      </c>
      <c r="C10" s="232">
        <v>31560</v>
      </c>
      <c r="D10" s="232">
        <v>34628</v>
      </c>
      <c r="E10" s="228"/>
      <c r="F10" s="266" t="s">
        <v>135</v>
      </c>
      <c r="G10" s="230"/>
      <c r="H10" s="230"/>
      <c r="I10" s="210"/>
    </row>
    <row r="11" spans="1:9" ht="19.5" customHeight="1">
      <c r="A11" s="208"/>
      <c r="B11" s="247" t="s">
        <v>421</v>
      </c>
      <c r="C11" s="233">
        <v>8519.11</v>
      </c>
      <c r="D11" s="233">
        <f>10103.35-50.14</f>
        <v>10053.210000000001</v>
      </c>
      <c r="E11" s="228"/>
      <c r="F11" s="242" t="s">
        <v>439</v>
      </c>
      <c r="G11" s="233">
        <v>30658.68</v>
      </c>
      <c r="H11" s="233">
        <f>20980+1090+5.21+4226.66</f>
        <v>26301.87</v>
      </c>
      <c r="I11" s="210"/>
    </row>
    <row r="12" spans="1:9" ht="19.5" customHeight="1">
      <c r="A12" s="208"/>
      <c r="B12" s="247" t="s">
        <v>428</v>
      </c>
      <c r="C12" s="232">
        <v>59462.54</v>
      </c>
      <c r="D12" s="232">
        <v>63980</v>
      </c>
      <c r="E12" s="228"/>
      <c r="F12" s="229" t="s">
        <v>440</v>
      </c>
      <c r="G12" s="233">
        <v>10524.33</v>
      </c>
      <c r="H12" s="233">
        <v>0</v>
      </c>
      <c r="I12" s="210"/>
    </row>
    <row r="13" spans="1:9" ht="19.5" customHeight="1">
      <c r="A13" s="208"/>
      <c r="B13" s="247" t="s">
        <v>131</v>
      </c>
      <c r="C13" s="232"/>
      <c r="D13" s="232"/>
      <c r="E13" s="228"/>
      <c r="F13" s="234" t="s">
        <v>441</v>
      </c>
      <c r="G13" s="233">
        <v>1956.5</v>
      </c>
      <c r="H13" s="233">
        <v>0</v>
      </c>
      <c r="I13" s="210"/>
    </row>
    <row r="14" spans="1:9" ht="19.5" customHeight="1">
      <c r="A14" s="208"/>
      <c r="B14" s="247" t="s">
        <v>429</v>
      </c>
      <c r="C14" s="232">
        <f>'A.RTDOS'!C17</f>
        <v>116750</v>
      </c>
      <c r="D14" s="232">
        <v>115400</v>
      </c>
      <c r="E14" s="228"/>
      <c r="F14" s="242" t="s">
        <v>442</v>
      </c>
      <c r="G14" s="233">
        <v>507.64</v>
      </c>
      <c r="H14" s="233">
        <v>1600</v>
      </c>
      <c r="I14" s="210"/>
    </row>
    <row r="15" spans="1:9" ht="19.5" customHeight="1">
      <c r="A15" s="208"/>
      <c r="B15" s="225" t="s">
        <v>11</v>
      </c>
      <c r="C15" s="232">
        <v>0</v>
      </c>
      <c r="D15" s="232"/>
      <c r="E15" s="228"/>
      <c r="F15" s="265" t="s">
        <v>443</v>
      </c>
      <c r="G15" s="233">
        <v>1100</v>
      </c>
      <c r="H15" s="233"/>
      <c r="I15" s="210"/>
    </row>
    <row r="16" spans="1:9" ht="19.5" customHeight="1">
      <c r="A16" s="208"/>
      <c r="B16" s="181"/>
      <c r="C16" s="226">
        <v>0</v>
      </c>
      <c r="D16" s="226">
        <v>0</v>
      </c>
      <c r="E16" s="228"/>
      <c r="F16" s="229" t="s">
        <v>136</v>
      </c>
      <c r="G16" s="233">
        <v>0</v>
      </c>
      <c r="H16" s="233">
        <v>0</v>
      </c>
      <c r="I16" s="210"/>
    </row>
    <row r="17" spans="1:9" ht="19.5" customHeight="1">
      <c r="A17" s="208"/>
      <c r="B17" s="225" t="s">
        <v>13</v>
      </c>
      <c r="C17" s="235">
        <f>SUM(C10:C16)</f>
        <v>216291.65</v>
      </c>
      <c r="D17" s="235">
        <f>SUM(D10:D16)</f>
        <v>224061.21</v>
      </c>
      <c r="E17" s="228"/>
      <c r="F17" s="229" t="s">
        <v>137</v>
      </c>
      <c r="G17" s="236">
        <v>0</v>
      </c>
      <c r="H17" s="233">
        <v>0</v>
      </c>
      <c r="I17" s="210"/>
    </row>
    <row r="18" spans="1:9" ht="15.75" customHeight="1">
      <c r="A18" s="208"/>
      <c r="B18" s="225"/>
      <c r="C18" s="226"/>
      <c r="D18" s="226"/>
      <c r="E18" s="228"/>
      <c r="F18" s="266" t="s">
        <v>138</v>
      </c>
      <c r="G18" s="237">
        <f>SUM(G11:G17)</f>
        <v>44747.15</v>
      </c>
      <c r="H18" s="237">
        <f>SUM(H11:H17)</f>
        <v>27901.87</v>
      </c>
      <c r="I18" s="210"/>
    </row>
    <row r="19" spans="1:9" ht="15.75" customHeight="1">
      <c r="A19" s="208"/>
      <c r="B19" s="225"/>
      <c r="C19" s="238"/>
      <c r="D19" s="226"/>
      <c r="E19" s="228"/>
      <c r="F19" s="242" t="s">
        <v>12</v>
      </c>
      <c r="G19" s="237">
        <v>0</v>
      </c>
      <c r="H19" s="237">
        <v>0</v>
      </c>
      <c r="I19" s="210"/>
    </row>
    <row r="20" spans="1:9" ht="22.5" customHeight="1">
      <c r="A20" s="208"/>
      <c r="B20" s="225" t="s">
        <v>15</v>
      </c>
      <c r="C20" s="226"/>
      <c r="D20" s="227"/>
      <c r="E20" s="228"/>
      <c r="F20" s="226" t="s">
        <v>14</v>
      </c>
      <c r="G20" s="237">
        <f>G18+G19</f>
        <v>44747.15</v>
      </c>
      <c r="H20" s="237">
        <f>H18+H19</f>
        <v>27901.87</v>
      </c>
      <c r="I20" s="210"/>
    </row>
    <row r="21" spans="1:9" ht="22.5" customHeight="1">
      <c r="A21" s="208"/>
      <c r="B21" s="247" t="s">
        <v>133</v>
      </c>
      <c r="C21" s="232">
        <v>0</v>
      </c>
      <c r="D21" s="232">
        <v>0</v>
      </c>
      <c r="E21" s="228"/>
      <c r="F21" s="239"/>
      <c r="G21" s="240"/>
      <c r="H21" s="240"/>
      <c r="I21" s="210"/>
    </row>
    <row r="22" spans="1:9" ht="22.5" customHeight="1">
      <c r="A22" s="208"/>
      <c r="B22" s="247" t="s">
        <v>131</v>
      </c>
      <c r="C22" s="232">
        <v>0</v>
      </c>
      <c r="D22" s="232">
        <v>0</v>
      </c>
      <c r="E22" s="228"/>
      <c r="F22" s="226" t="s">
        <v>16</v>
      </c>
      <c r="G22" s="226"/>
      <c r="H22" s="226"/>
      <c r="I22" s="210"/>
    </row>
    <row r="23" spans="1:9" ht="22.5" customHeight="1">
      <c r="A23" s="208"/>
      <c r="B23" s="247" t="s">
        <v>132</v>
      </c>
      <c r="C23" s="232">
        <v>0</v>
      </c>
      <c r="D23" s="232">
        <v>0</v>
      </c>
      <c r="E23" s="228"/>
      <c r="F23" s="266" t="s">
        <v>135</v>
      </c>
      <c r="G23" s="233">
        <v>0</v>
      </c>
      <c r="H23" s="232">
        <v>0</v>
      </c>
      <c r="I23" s="210"/>
    </row>
    <row r="24" spans="1:9" ht="22.5" customHeight="1">
      <c r="A24" s="208"/>
      <c r="B24" s="247" t="s">
        <v>430</v>
      </c>
      <c r="C24" s="232">
        <f>'A.BS.USO'!O19</f>
        <v>39598.5</v>
      </c>
      <c r="D24" s="232">
        <f>66460-50846</f>
        <v>15614</v>
      </c>
      <c r="E24" s="228"/>
      <c r="F24" s="266" t="s">
        <v>138</v>
      </c>
      <c r="G24" s="237">
        <f>SUM(G23)</f>
        <v>0</v>
      </c>
      <c r="H24" s="237">
        <f>SUM(H23)</f>
        <v>0</v>
      </c>
      <c r="I24" s="210"/>
    </row>
    <row r="25" spans="1:9" ht="22.5" customHeight="1">
      <c r="A25" s="208"/>
      <c r="B25" s="241" t="s">
        <v>450</v>
      </c>
      <c r="C25" s="232">
        <v>0</v>
      </c>
      <c r="D25" s="232">
        <v>0</v>
      </c>
      <c r="E25" s="228"/>
      <c r="F25" s="242" t="s">
        <v>12</v>
      </c>
      <c r="G25" s="237">
        <v>0</v>
      </c>
      <c r="H25" s="237">
        <v>0</v>
      </c>
      <c r="I25" s="210"/>
    </row>
    <row r="26" spans="1:9" ht="22.5" customHeight="1">
      <c r="A26" s="208"/>
      <c r="B26" s="268" t="s">
        <v>423</v>
      </c>
      <c r="C26" s="232">
        <v>8500</v>
      </c>
      <c r="D26" s="232">
        <v>0</v>
      </c>
      <c r="E26" s="228"/>
      <c r="F26" s="242" t="s">
        <v>73</v>
      </c>
      <c r="G26" s="237">
        <f>G24+G25</f>
        <v>0</v>
      </c>
      <c r="H26" s="237">
        <f>H24+H25</f>
        <v>0</v>
      </c>
      <c r="I26" s="210"/>
    </row>
    <row r="27" spans="1:9" ht="22.5" customHeight="1" thickBot="1">
      <c r="A27" s="208"/>
      <c r="B27" s="225" t="s">
        <v>431</v>
      </c>
      <c r="C27" s="232">
        <f>'A.INTANG'!O19</f>
        <v>0</v>
      </c>
      <c r="D27" s="232">
        <f>(1213.33+900)*2</f>
        <v>4226.66</v>
      </c>
      <c r="E27" s="228"/>
      <c r="F27" s="243" t="s">
        <v>17</v>
      </c>
      <c r="G27" s="244">
        <f>G20+G26</f>
        <v>44747.15</v>
      </c>
      <c r="H27" s="244">
        <f>H20+H26</f>
        <v>27901.87</v>
      </c>
      <c r="I27" s="210"/>
    </row>
    <row r="28" spans="1:9" ht="22.5" customHeight="1">
      <c r="A28" s="208"/>
      <c r="B28" s="225" t="s">
        <v>134</v>
      </c>
      <c r="C28" s="226">
        <v>0</v>
      </c>
      <c r="D28" s="232">
        <v>0</v>
      </c>
      <c r="E28" s="228"/>
      <c r="F28" s="267"/>
      <c r="G28" s="245"/>
      <c r="H28" s="246"/>
      <c r="I28" s="210"/>
    </row>
    <row r="29" spans="1:9" ht="22.5" customHeight="1">
      <c r="A29" s="208"/>
      <c r="B29" s="247" t="s">
        <v>18</v>
      </c>
      <c r="C29" s="248">
        <f>SUM(C21:C28)</f>
        <v>48098.5</v>
      </c>
      <c r="D29" s="248">
        <f>SUM(D21:D28)</f>
        <v>19840.66</v>
      </c>
      <c r="E29" s="228"/>
      <c r="F29" s="242" t="s">
        <v>19</v>
      </c>
      <c r="G29" s="249">
        <f>'E.E.P.N.'!N22</f>
        <v>219643.00000000003</v>
      </c>
      <c r="H29" s="250">
        <f>'E.E.P.N.'!N13</f>
        <v>216000</v>
      </c>
      <c r="I29" s="210"/>
    </row>
    <row r="30" spans="1:9" ht="22.5" customHeight="1" thickBot="1">
      <c r="A30" s="208"/>
      <c r="B30" s="251" t="s">
        <v>20</v>
      </c>
      <c r="C30" s="252">
        <f>C29+C17</f>
        <v>264390.15</v>
      </c>
      <c r="D30" s="252">
        <f>D29+D17</f>
        <v>243901.87</v>
      </c>
      <c r="E30" s="228"/>
      <c r="F30" s="253" t="s">
        <v>21</v>
      </c>
      <c r="G30" s="252">
        <f>G27+G29</f>
        <v>264390.15</v>
      </c>
      <c r="H30" s="254">
        <f>H27+H29</f>
        <v>243901.87</v>
      </c>
      <c r="I30" s="210"/>
    </row>
    <row r="31" spans="1:9" ht="15" customHeight="1">
      <c r="A31" s="208"/>
      <c r="C31" s="180"/>
      <c r="D31" s="180"/>
      <c r="H31" s="180"/>
      <c r="I31" s="210"/>
    </row>
    <row r="32" spans="1:9" ht="15" customHeight="1">
      <c r="A32" s="208"/>
      <c r="C32" s="180"/>
      <c r="D32" s="180"/>
      <c r="E32" s="183"/>
      <c r="G32" s="180"/>
      <c r="H32" s="180"/>
      <c r="I32" s="210"/>
    </row>
    <row r="33" spans="1:9" ht="15" customHeight="1">
      <c r="A33" s="208"/>
      <c r="B33" s="269" t="s">
        <v>70</v>
      </c>
      <c r="C33" s="258"/>
      <c r="D33" s="258"/>
      <c r="E33" s="259"/>
      <c r="F33" s="259"/>
      <c r="G33" s="258"/>
      <c r="H33" s="260"/>
      <c r="I33" s="210"/>
    </row>
    <row r="34" spans="1:9" ht="15" customHeight="1" thickBot="1">
      <c r="A34" s="261"/>
      <c r="B34" s="262"/>
      <c r="C34" s="263"/>
      <c r="D34" s="263"/>
      <c r="E34" s="262"/>
      <c r="F34" s="262"/>
      <c r="G34" s="263"/>
      <c r="H34" s="263"/>
      <c r="I34" s="264"/>
    </row>
    <row r="35" ht="15.75" customHeight="1" thickTop="1"/>
    <row r="36" ht="15.75" customHeight="1"/>
    <row r="37" ht="15.75" customHeight="1"/>
    <row r="38" ht="15.75" customHeight="1"/>
    <row r="39" ht="15.75" customHeight="1"/>
    <row r="40" spans="2:11" ht="15.75" customHeight="1">
      <c r="B40" s="669"/>
      <c r="C40" s="672"/>
      <c r="D40" s="672"/>
      <c r="E40" s="669"/>
      <c r="F40" s="669"/>
      <c r="G40" s="672"/>
      <c r="H40" s="672"/>
      <c r="I40" s="669"/>
      <c r="J40" s="669"/>
      <c r="K40" s="669"/>
    </row>
    <row r="41" spans="2:11" ht="15.75" customHeight="1">
      <c r="B41" s="669"/>
      <c r="C41" s="672"/>
      <c r="D41" s="672"/>
      <c r="E41" s="669"/>
      <c r="F41" s="669"/>
      <c r="G41" s="672"/>
      <c r="H41" s="672"/>
      <c r="I41" s="669"/>
      <c r="J41" s="669"/>
      <c r="K41" s="669"/>
    </row>
    <row r="42" spans="2:11" ht="15.75" customHeight="1">
      <c r="B42" s="669"/>
      <c r="C42" s="672">
        <f>+C30</f>
        <v>264390.15</v>
      </c>
      <c r="D42" s="672"/>
      <c r="E42" s="669"/>
      <c r="F42" s="669">
        <f>+'E.RESUL'!C23</f>
        <v>17243.000000000036</v>
      </c>
      <c r="G42" s="672"/>
      <c r="H42" s="672"/>
      <c r="I42" s="669"/>
      <c r="J42" s="669">
        <v>1887</v>
      </c>
      <c r="K42" s="669"/>
    </row>
    <row r="43" spans="2:11" ht="15.75" customHeight="1">
      <c r="B43" s="669"/>
      <c r="C43" s="672">
        <f>+G27</f>
        <v>44747.15</v>
      </c>
      <c r="D43" s="672"/>
      <c r="E43" s="669"/>
      <c r="F43" s="669">
        <f>+'E.RESUL'!C20</f>
        <v>-3690</v>
      </c>
      <c r="G43" s="672"/>
      <c r="H43" s="672"/>
      <c r="I43" s="669"/>
      <c r="J43" s="669">
        <f>+J42*0.35</f>
        <v>660.4499999999999</v>
      </c>
      <c r="K43" s="669"/>
    </row>
    <row r="44" spans="2:11" ht="15.75" customHeight="1">
      <c r="B44" s="669"/>
      <c r="C44" s="672">
        <f>+C42-C43</f>
        <v>219643.00000000003</v>
      </c>
      <c r="D44" s="672"/>
      <c r="E44" s="669"/>
      <c r="F44" s="669">
        <f>+F42-F43</f>
        <v>20933.000000000036</v>
      </c>
      <c r="G44" s="672"/>
      <c r="H44" s="672"/>
      <c r="I44" s="669"/>
      <c r="J44" s="669"/>
      <c r="K44" s="669"/>
    </row>
    <row r="45" spans="2:11" ht="15.75" customHeight="1">
      <c r="B45" s="669"/>
      <c r="C45" s="672"/>
      <c r="D45" s="672"/>
      <c r="E45" s="669"/>
      <c r="F45" s="669"/>
      <c r="G45" s="672"/>
      <c r="H45" s="672"/>
      <c r="I45" s="669"/>
      <c r="J45" s="669"/>
      <c r="K45" s="669"/>
    </row>
    <row r="46" spans="2:11" ht="15.75" customHeight="1">
      <c r="B46" s="669"/>
      <c r="C46" s="672"/>
      <c r="D46" s="672"/>
      <c r="E46" s="669"/>
      <c r="F46" s="669"/>
      <c r="G46" s="672"/>
      <c r="H46" s="672"/>
      <c r="I46" s="669"/>
      <c r="J46" s="669"/>
      <c r="K46" s="669"/>
    </row>
    <row r="47" spans="2:11" ht="15.75" customHeight="1">
      <c r="B47" s="669"/>
      <c r="C47" s="672"/>
      <c r="D47" s="672"/>
      <c r="E47" s="669"/>
      <c r="F47" s="669"/>
      <c r="G47" s="672"/>
      <c r="H47" s="672"/>
      <c r="I47" s="669"/>
      <c r="J47" s="669"/>
      <c r="K47" s="669"/>
    </row>
    <row r="48" spans="2:11" ht="15.75" customHeight="1">
      <c r="B48" s="669"/>
      <c r="C48" s="672"/>
      <c r="D48" s="672"/>
      <c r="E48" s="669"/>
      <c r="F48" s="669"/>
      <c r="G48" s="672"/>
      <c r="H48" s="672"/>
      <c r="I48" s="669"/>
      <c r="J48" s="669"/>
      <c r="K48" s="669"/>
    </row>
    <row r="49" ht="15.75" customHeight="1"/>
  </sheetData>
  <mergeCells count="2">
    <mergeCell ref="B1:H1"/>
    <mergeCell ref="B4:H4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4"/>
  <sheetViews>
    <sheetView showGridLines="0" zoomScale="80" zoomScaleNormal="80" workbookViewId="0" topLeftCell="A114">
      <selection activeCell="A114" sqref="A114:C114"/>
    </sheetView>
  </sheetViews>
  <sheetFormatPr defaultColWidth="11.421875" defaultRowHeight="12.75"/>
  <cols>
    <col min="1" max="1" width="40.140625" style="26" customWidth="1"/>
    <col min="2" max="2" width="13.140625" style="28" customWidth="1"/>
    <col min="3" max="3" width="14.57421875" style="28" customWidth="1"/>
    <col min="4" max="4" width="13.140625" style="28" customWidth="1"/>
    <col min="5" max="5" width="12.00390625" style="0" customWidth="1"/>
    <col min="6" max="7" width="12.7109375" style="0" customWidth="1"/>
    <col min="8" max="8" width="13.421875" style="0" customWidth="1"/>
    <col min="9" max="9" width="18.7109375" style="0" customWidth="1"/>
    <col min="10" max="10" width="16.7109375" style="0" customWidth="1"/>
    <col min="11" max="11" width="15.57421875" style="0" customWidth="1"/>
  </cols>
  <sheetData>
    <row r="1" ht="26.25">
      <c r="A1" s="489" t="s">
        <v>128</v>
      </c>
    </row>
    <row r="2" ht="13.5" thickBot="1">
      <c r="A2" s="26" t="str">
        <f>CARAT!B11</f>
        <v>IMAGINATE S.R.L.</v>
      </c>
    </row>
    <row r="3" spans="1:3" ht="20.25" thickBot="1">
      <c r="A3" s="480" t="str">
        <f>CARAT!B2</f>
        <v>EJERCICIO ANUAL Nº 5</v>
      </c>
      <c r="B3" s="649" t="s">
        <v>176</v>
      </c>
      <c r="C3" s="650"/>
    </row>
    <row r="4" spans="1:10" ht="38.25" customHeight="1" thickBot="1">
      <c r="A4" s="53"/>
      <c r="B4" s="59" t="str">
        <f>'E.S.P.'!C7</f>
        <v>CIERRE EJERCICIO</v>
      </c>
      <c r="C4" s="60" t="str">
        <f>'E.S.P.'!D7</f>
        <v>CIERRE EJERC. ANTERIOR</v>
      </c>
      <c r="D4" s="64" t="s">
        <v>175</v>
      </c>
      <c r="E4" s="72" t="s">
        <v>181</v>
      </c>
      <c r="F4" s="73" t="s">
        <v>182</v>
      </c>
      <c r="G4" s="72" t="s">
        <v>183</v>
      </c>
      <c r="H4" s="73" t="s">
        <v>184</v>
      </c>
      <c r="I4" s="57" t="s">
        <v>185</v>
      </c>
      <c r="J4" s="46" t="s">
        <v>169</v>
      </c>
    </row>
    <row r="5" spans="1:10" ht="12.75">
      <c r="A5" s="29" t="str">
        <f>'E.S.P.'!B8</f>
        <v>ACTIVO</v>
      </c>
      <c r="B5" s="58" t="str">
        <f>'E.S.P.'!C8</f>
        <v>$</v>
      </c>
      <c r="C5" s="58" t="str">
        <f>'E.S.P.'!D8</f>
        <v>$</v>
      </c>
      <c r="D5" s="65"/>
      <c r="E5" s="74"/>
      <c r="F5" s="75"/>
      <c r="G5" s="74"/>
      <c r="H5" s="75"/>
      <c r="I5" s="70"/>
      <c r="J5" s="31"/>
    </row>
    <row r="6" spans="1:17" ht="12.75">
      <c r="A6" s="29" t="str">
        <f>'E.S.P.'!B9</f>
        <v>ACTIVO CORRIENTE</v>
      </c>
      <c r="B6" s="40">
        <f>'E.S.P.'!C9</f>
        <v>0</v>
      </c>
      <c r="C6" s="40">
        <f>'E.S.P.'!D9</f>
        <v>0</v>
      </c>
      <c r="D6" s="66"/>
      <c r="E6" s="76"/>
      <c r="F6" s="77"/>
      <c r="G6" s="76"/>
      <c r="H6" s="77"/>
      <c r="I6" s="70"/>
      <c r="J6" s="31"/>
      <c r="K6" s="39"/>
      <c r="M6" s="39"/>
      <c r="N6" s="39"/>
      <c r="O6" s="39"/>
      <c r="P6" s="39"/>
      <c r="Q6" s="39"/>
    </row>
    <row r="7" spans="1:17" ht="15.75">
      <c r="A7" s="44" t="str">
        <f>'E.S.P.'!B10</f>
        <v>Caja y Bancos (Nota 2)</v>
      </c>
      <c r="B7" s="45">
        <f>'E.S.P.'!C10</f>
        <v>31560</v>
      </c>
      <c r="C7" s="45">
        <f>'E.S.P.'!D10</f>
        <v>34628</v>
      </c>
      <c r="D7" s="52">
        <f aca="true" t="shared" si="0" ref="D7:D13">B7-C7</f>
        <v>-3068</v>
      </c>
      <c r="E7" s="78" t="s">
        <v>170</v>
      </c>
      <c r="F7" s="79"/>
      <c r="G7" s="92"/>
      <c r="H7" s="93"/>
      <c r="I7" s="50"/>
      <c r="J7" s="651">
        <f>SUM(D7:D8)</f>
        <v>-4602.1</v>
      </c>
      <c r="K7" s="39"/>
      <c r="M7" s="39"/>
      <c r="N7" s="39"/>
      <c r="O7" s="39"/>
      <c r="P7" s="39"/>
      <c r="Q7" s="39"/>
    </row>
    <row r="8" spans="1:17" ht="12.75">
      <c r="A8" s="44" t="str">
        <f>'E.S.P.'!B11</f>
        <v>Inversiones Temporarias (Nota 3)</v>
      </c>
      <c r="B8" s="45">
        <f>'E.S.P.'!C11</f>
        <v>8519.11</v>
      </c>
      <c r="C8" s="45">
        <f>'E.S.P.'!D11</f>
        <v>10053.210000000001</v>
      </c>
      <c r="D8" s="52">
        <f t="shared" si="0"/>
        <v>-1534.1000000000004</v>
      </c>
      <c r="E8" s="80"/>
      <c r="F8" s="81"/>
      <c r="G8" s="80"/>
      <c r="H8" s="81"/>
      <c r="I8" s="51"/>
      <c r="J8" s="652"/>
      <c r="K8" s="39"/>
      <c r="M8" s="39"/>
      <c r="N8" s="39"/>
      <c r="O8" s="39"/>
      <c r="P8" s="39"/>
      <c r="Q8" s="39"/>
    </row>
    <row r="9" spans="1:17" ht="12.75">
      <c r="A9" s="29" t="str">
        <f>'E.S.P.'!B12</f>
        <v>Créditos por Ventas (Nota 4)</v>
      </c>
      <c r="B9" s="40">
        <f>'E.S.P.'!C12</f>
        <v>59462.54</v>
      </c>
      <c r="C9" s="40">
        <f>'E.S.P.'!D12</f>
        <v>63980</v>
      </c>
      <c r="D9" s="67">
        <f t="shared" si="0"/>
        <v>-4517.459999999999</v>
      </c>
      <c r="E9" s="82"/>
      <c r="F9" s="83"/>
      <c r="G9" s="82"/>
      <c r="H9" s="83"/>
      <c r="I9" s="71"/>
      <c r="J9" s="41">
        <f>D9+E9-F9+G9-H9</f>
        <v>-4517.459999999999</v>
      </c>
      <c r="K9" s="39"/>
      <c r="M9" s="39"/>
      <c r="N9" s="39"/>
      <c r="O9" s="39"/>
      <c r="P9" s="39"/>
      <c r="Q9" s="39"/>
    </row>
    <row r="10" spans="1:17" ht="12.75">
      <c r="A10" s="29" t="str">
        <f>'E.S.P.'!B13</f>
        <v>Otros Créditos (Nota ..)</v>
      </c>
      <c r="B10" s="40">
        <f>'E.S.P.'!C13</f>
        <v>0</v>
      </c>
      <c r="C10" s="40">
        <f>'E.S.P.'!D13</f>
        <v>0</v>
      </c>
      <c r="D10" s="67">
        <f t="shared" si="0"/>
        <v>0</v>
      </c>
      <c r="E10" s="84"/>
      <c r="F10" s="85"/>
      <c r="G10" s="84"/>
      <c r="H10" s="85"/>
      <c r="I10" s="71"/>
      <c r="J10" s="41">
        <f aca="true" t="shared" si="1" ref="J10:J66">D10+E10-F10+G10-H10</f>
        <v>0</v>
      </c>
      <c r="K10" s="39"/>
      <c r="M10" s="39"/>
      <c r="N10" s="39"/>
      <c r="O10" s="39"/>
      <c r="P10" s="39"/>
      <c r="Q10" s="39"/>
    </row>
    <row r="11" spans="1:17" ht="12.75">
      <c r="A11" s="29" t="str">
        <f>'E.S.P.'!B14</f>
        <v>Bienes de Cambio (Nota 5)</v>
      </c>
      <c r="B11" s="40">
        <f>'E.S.P.'!C14</f>
        <v>116750</v>
      </c>
      <c r="C11" s="40">
        <f>'E.S.P.'!D14</f>
        <v>115400</v>
      </c>
      <c r="D11" s="67">
        <f t="shared" si="0"/>
        <v>1350</v>
      </c>
      <c r="E11" s="84"/>
      <c r="F11" s="85"/>
      <c r="G11" s="84"/>
      <c r="H11" s="85"/>
      <c r="I11" s="71"/>
      <c r="J11" s="41">
        <f t="shared" si="1"/>
        <v>1350</v>
      </c>
      <c r="K11" s="39"/>
      <c r="M11" s="39"/>
      <c r="N11" s="39"/>
      <c r="O11" s="39"/>
      <c r="P11" s="39"/>
      <c r="Q11" s="39"/>
    </row>
    <row r="12" spans="1:17" ht="12.75">
      <c r="A12" s="29" t="str">
        <f>'E.S.P.'!B15</f>
        <v>Otros Activos</v>
      </c>
      <c r="B12" s="40">
        <f>'E.S.P.'!C15</f>
        <v>0</v>
      </c>
      <c r="C12" s="40">
        <f>'E.S.P.'!D15</f>
        <v>0</v>
      </c>
      <c r="D12" s="67">
        <f t="shared" si="0"/>
        <v>0</v>
      </c>
      <c r="E12" s="84"/>
      <c r="F12" s="85"/>
      <c r="G12" s="84"/>
      <c r="H12" s="85"/>
      <c r="I12" s="71"/>
      <c r="J12" s="41">
        <f t="shared" si="1"/>
        <v>0</v>
      </c>
      <c r="K12" s="39"/>
      <c r="M12" s="39"/>
      <c r="N12" s="39"/>
      <c r="O12" s="39"/>
      <c r="P12" s="39"/>
      <c r="Q12" s="39"/>
    </row>
    <row r="13" spans="1:17" ht="12.75">
      <c r="A13" s="29">
        <f>'E.S.P.'!B16</f>
        <v>0</v>
      </c>
      <c r="B13" s="40">
        <f>'E.S.P.'!C16</f>
        <v>0</v>
      </c>
      <c r="C13" s="40">
        <f>'E.S.P.'!D16</f>
        <v>0</v>
      </c>
      <c r="D13" s="67">
        <f t="shared" si="0"/>
        <v>0</v>
      </c>
      <c r="E13" s="84"/>
      <c r="F13" s="85"/>
      <c r="G13" s="84"/>
      <c r="H13" s="85"/>
      <c r="I13" s="71"/>
      <c r="J13" s="41">
        <f t="shared" si="1"/>
        <v>0</v>
      </c>
      <c r="K13" s="39"/>
      <c r="M13" s="39"/>
      <c r="N13" s="39"/>
      <c r="O13" s="39"/>
      <c r="P13" s="39"/>
      <c r="Q13" s="39"/>
    </row>
    <row r="14" spans="1:17" ht="12.75">
      <c r="A14" s="29" t="str">
        <f>'E.S.P.'!B17</f>
        <v>TOTAL ACTIVO CORRIENTE</v>
      </c>
      <c r="B14" s="40">
        <f>'E.S.P.'!C17</f>
        <v>216291.65</v>
      </c>
      <c r="C14" s="40">
        <f>'E.S.P.'!D17</f>
        <v>224061.21</v>
      </c>
      <c r="D14" s="68"/>
      <c r="E14" s="84"/>
      <c r="F14" s="85"/>
      <c r="G14" s="84"/>
      <c r="H14" s="85"/>
      <c r="I14" s="71"/>
      <c r="J14" s="41">
        <f t="shared" si="1"/>
        <v>0</v>
      </c>
      <c r="K14" s="39"/>
      <c r="M14" s="39"/>
      <c r="N14" s="39"/>
      <c r="O14" s="39"/>
      <c r="P14" s="39"/>
      <c r="Q14" s="39"/>
    </row>
    <row r="15" spans="1:17" ht="12.75">
      <c r="A15" s="29">
        <f>'E.S.P.'!B18</f>
        <v>0</v>
      </c>
      <c r="B15" s="40">
        <f>'E.S.P.'!C18</f>
        <v>0</v>
      </c>
      <c r="C15" s="40">
        <f>'E.S.P.'!D18</f>
        <v>0</v>
      </c>
      <c r="D15" s="67">
        <f aca="true" t="shared" si="2" ref="D15:D25">B15-C15</f>
        <v>0</v>
      </c>
      <c r="E15" s="84"/>
      <c r="F15" s="85"/>
      <c r="G15" s="84"/>
      <c r="H15" s="85"/>
      <c r="I15" s="71"/>
      <c r="J15" s="41">
        <f t="shared" si="1"/>
        <v>0</v>
      </c>
      <c r="K15" s="39"/>
      <c r="M15" s="39"/>
      <c r="N15" s="39"/>
      <c r="O15" s="39"/>
      <c r="P15" s="39"/>
      <c r="Q15" s="39"/>
    </row>
    <row r="16" spans="1:17" ht="12.75">
      <c r="A16" s="29">
        <f>'E.S.P.'!B19</f>
        <v>0</v>
      </c>
      <c r="B16" s="40">
        <f>'E.S.P.'!C19</f>
        <v>0</v>
      </c>
      <c r="C16" s="40">
        <f>'E.S.P.'!D19</f>
        <v>0</v>
      </c>
      <c r="D16" s="67">
        <f t="shared" si="2"/>
        <v>0</v>
      </c>
      <c r="E16" s="84"/>
      <c r="F16" s="85"/>
      <c r="G16" s="84"/>
      <c r="H16" s="85"/>
      <c r="I16" s="71"/>
      <c r="J16" s="41">
        <f t="shared" si="1"/>
        <v>0</v>
      </c>
      <c r="K16" s="39"/>
      <c r="M16" s="39"/>
      <c r="N16" s="39"/>
      <c r="O16" s="39"/>
      <c r="P16" s="39"/>
      <c r="Q16" s="39"/>
    </row>
    <row r="17" spans="1:17" ht="12.75">
      <c r="A17" s="29" t="str">
        <f>'E.S.P.'!B20</f>
        <v>ACTIVO NO CORRIENTE</v>
      </c>
      <c r="B17" s="40">
        <f>'E.S.P.'!C20</f>
        <v>0</v>
      </c>
      <c r="C17" s="40">
        <f>'E.S.P.'!D20</f>
        <v>0</v>
      </c>
      <c r="D17" s="68"/>
      <c r="E17" s="84"/>
      <c r="F17" s="85"/>
      <c r="G17" s="84"/>
      <c r="H17" s="85"/>
      <c r="I17" s="71"/>
      <c r="J17" s="41">
        <f t="shared" si="1"/>
        <v>0</v>
      </c>
      <c r="K17" s="39"/>
      <c r="M17" s="39"/>
      <c r="N17" s="39"/>
      <c r="O17" s="39"/>
      <c r="P17" s="39"/>
      <c r="Q17" s="39"/>
    </row>
    <row r="18" spans="1:17" ht="12.75">
      <c r="A18" s="29" t="str">
        <f>'E.S.P.'!B21</f>
        <v>Créditos por Ventas (Nota ….)</v>
      </c>
      <c r="B18" s="40">
        <f>'E.S.P.'!C21</f>
        <v>0</v>
      </c>
      <c r="C18" s="40">
        <f>'E.S.P.'!D21</f>
        <v>0</v>
      </c>
      <c r="D18" s="67">
        <f t="shared" si="2"/>
        <v>0</v>
      </c>
      <c r="E18" s="84"/>
      <c r="F18" s="85"/>
      <c r="G18" s="84"/>
      <c r="H18" s="85"/>
      <c r="I18" s="71"/>
      <c r="J18" s="41">
        <f t="shared" si="1"/>
        <v>0</v>
      </c>
      <c r="K18" s="39"/>
      <c r="M18" s="39"/>
      <c r="N18" s="39"/>
      <c r="O18" s="39"/>
      <c r="P18" s="39"/>
      <c r="Q18" s="39"/>
    </row>
    <row r="19" spans="1:17" ht="12.75">
      <c r="A19" s="29" t="str">
        <f>'E.S.P.'!B22</f>
        <v>Otros Créditos (Nota ..)</v>
      </c>
      <c r="B19" s="40">
        <f>'E.S.P.'!C22</f>
        <v>0</v>
      </c>
      <c r="C19" s="40">
        <f>'E.S.P.'!D22</f>
        <v>0</v>
      </c>
      <c r="D19" s="67">
        <f t="shared" si="2"/>
        <v>0</v>
      </c>
      <c r="E19" s="84"/>
      <c r="F19" s="85"/>
      <c r="G19" s="84"/>
      <c r="H19" s="85"/>
      <c r="I19" s="71"/>
      <c r="J19" s="41">
        <f t="shared" si="1"/>
        <v>0</v>
      </c>
      <c r="K19" s="39"/>
      <c r="M19" s="39"/>
      <c r="N19" s="39"/>
      <c r="O19" s="39"/>
      <c r="P19" s="39"/>
      <c r="Q19" s="39"/>
    </row>
    <row r="20" spans="1:17" ht="12.75">
      <c r="A20" s="29" t="str">
        <f>'E.S.P.'!B23</f>
        <v>Bienes de Cambio (Nota ..)</v>
      </c>
      <c r="B20" s="40">
        <f>'E.S.P.'!C23</f>
        <v>0</v>
      </c>
      <c r="C20" s="40">
        <f>'E.S.P.'!D23</f>
        <v>0</v>
      </c>
      <c r="D20" s="67">
        <f t="shared" si="2"/>
        <v>0</v>
      </c>
      <c r="E20" s="84"/>
      <c r="F20" s="85"/>
      <c r="G20" s="84"/>
      <c r="H20" s="85"/>
      <c r="I20" s="71"/>
      <c r="J20" s="41">
        <f t="shared" si="1"/>
        <v>0</v>
      </c>
      <c r="K20" s="39"/>
      <c r="M20" s="39"/>
      <c r="N20" s="39"/>
      <c r="O20" s="39"/>
      <c r="P20" s="39"/>
      <c r="Q20" s="39"/>
    </row>
    <row r="21" spans="1:17" ht="35.25" customHeight="1">
      <c r="A21" s="29" t="str">
        <f>'E.S.P.'!B24</f>
        <v>Bienes de Uso (Anexo I. Nota 6)</v>
      </c>
      <c r="B21" s="40">
        <f>'E.S.P.'!C24</f>
        <v>39598.5</v>
      </c>
      <c r="C21" s="40">
        <f>'E.S.P.'!D24</f>
        <v>15614</v>
      </c>
      <c r="D21" s="67">
        <f t="shared" si="2"/>
        <v>23984.5</v>
      </c>
      <c r="E21" s="86">
        <v>10015.5</v>
      </c>
      <c r="F21" s="117"/>
      <c r="G21" s="118">
        <v>12000</v>
      </c>
      <c r="H21" s="117"/>
      <c r="I21" s="89" t="s">
        <v>339</v>
      </c>
      <c r="J21" s="41">
        <f t="shared" si="1"/>
        <v>46000</v>
      </c>
      <c r="K21" s="116"/>
      <c r="M21" s="39"/>
      <c r="N21" s="39"/>
      <c r="O21" s="39"/>
      <c r="P21" s="39"/>
      <c r="Q21" s="39"/>
    </row>
    <row r="22" spans="1:17" ht="12.75">
      <c r="A22" s="29" t="str">
        <f>'E.S.P.'!B25</f>
        <v>Participac. Perman. en Soc. (Anexo.Nota.)</v>
      </c>
      <c r="B22" s="40">
        <f>'E.S.P.'!C25</f>
        <v>0</v>
      </c>
      <c r="C22" s="40">
        <f>'E.S.P.'!D25</f>
        <v>0</v>
      </c>
      <c r="D22" s="67">
        <f t="shared" si="2"/>
        <v>0</v>
      </c>
      <c r="E22" s="84"/>
      <c r="F22" s="85"/>
      <c r="G22" s="84"/>
      <c r="H22" s="85"/>
      <c r="I22" s="71"/>
      <c r="J22" s="41">
        <f t="shared" si="1"/>
        <v>0</v>
      </c>
      <c r="K22" s="39"/>
      <c r="M22" s="39"/>
      <c r="N22" s="39"/>
      <c r="O22" s="39"/>
      <c r="P22" s="39"/>
      <c r="Q22" s="39"/>
    </row>
    <row r="23" spans="1:17" ht="12.75">
      <c r="A23" s="29" t="str">
        <f>'E.S.P.'!B26</f>
        <v>Otras Inversiones (Nota 3)</v>
      </c>
      <c r="B23" s="40">
        <f>'E.S.P.'!C26</f>
        <v>8500</v>
      </c>
      <c r="C23" s="40">
        <f>'E.S.P.'!D26</f>
        <v>0</v>
      </c>
      <c r="D23" s="67">
        <f t="shared" si="2"/>
        <v>8500</v>
      </c>
      <c r="E23" s="84"/>
      <c r="F23" s="85"/>
      <c r="G23" s="84"/>
      <c r="H23" s="85"/>
      <c r="I23" s="71"/>
      <c r="J23" s="41">
        <f t="shared" si="1"/>
        <v>8500</v>
      </c>
      <c r="K23" s="39"/>
      <c r="M23" s="39"/>
      <c r="N23" s="39"/>
      <c r="O23" s="39"/>
      <c r="P23" s="39"/>
      <c r="Q23" s="39"/>
    </row>
    <row r="24" spans="1:17" ht="12.75">
      <c r="A24" s="29" t="str">
        <f>'E.S.P.'!B27</f>
        <v>Activos Intangibles ( Anexo II. Nota 7)</v>
      </c>
      <c r="B24" s="40">
        <f>'E.S.P.'!C27</f>
        <v>0</v>
      </c>
      <c r="C24" s="40">
        <f>'E.S.P.'!D27</f>
        <v>4226.66</v>
      </c>
      <c r="D24" s="67">
        <f t="shared" si="2"/>
        <v>-4226.66</v>
      </c>
      <c r="E24" s="86">
        <v>4226.67</v>
      </c>
      <c r="F24" s="85"/>
      <c r="G24" s="84"/>
      <c r="H24" s="85"/>
      <c r="I24" s="89" t="s">
        <v>336</v>
      </c>
      <c r="J24" s="41">
        <f t="shared" si="1"/>
        <v>0.010000000000218279</v>
      </c>
      <c r="K24" s="39"/>
      <c r="M24" s="39"/>
      <c r="N24" s="39"/>
      <c r="O24" s="39"/>
      <c r="P24" s="39"/>
      <c r="Q24" s="39"/>
    </row>
    <row r="25" spans="1:17" ht="12.75">
      <c r="A25" s="29" t="str">
        <f>'E.S.P.'!B28</f>
        <v>Otros Activos (Nota …)</v>
      </c>
      <c r="B25" s="40">
        <f>'E.S.P.'!C28</f>
        <v>0</v>
      </c>
      <c r="C25" s="40">
        <f>'E.S.P.'!D28</f>
        <v>0</v>
      </c>
      <c r="D25" s="67">
        <f t="shared" si="2"/>
        <v>0</v>
      </c>
      <c r="E25" s="84"/>
      <c r="F25" s="85"/>
      <c r="G25" s="84"/>
      <c r="H25" s="85"/>
      <c r="I25" s="71"/>
      <c r="J25" s="41">
        <f t="shared" si="1"/>
        <v>0</v>
      </c>
      <c r="K25" s="39"/>
      <c r="M25" s="39"/>
      <c r="N25" s="39"/>
      <c r="O25" s="39"/>
      <c r="P25" s="39"/>
      <c r="Q25" s="39"/>
    </row>
    <row r="26" spans="1:17" ht="13.5" thickBot="1">
      <c r="A26" s="29" t="str">
        <f>'E.S.P.'!B29</f>
        <v>TOTAL ACTIVO NO CTE.</v>
      </c>
      <c r="B26" s="54">
        <f>'E.S.P.'!C29</f>
        <v>48098.5</v>
      </c>
      <c r="C26" s="54">
        <f>'E.S.P.'!D29</f>
        <v>19840.66</v>
      </c>
      <c r="D26" s="68"/>
      <c r="E26" s="84"/>
      <c r="F26" s="85"/>
      <c r="G26" s="84"/>
      <c r="H26" s="85"/>
      <c r="I26" s="71"/>
      <c r="J26" s="41">
        <f t="shared" si="1"/>
        <v>0</v>
      </c>
      <c r="K26" s="39"/>
      <c r="M26" s="39"/>
      <c r="N26" s="39"/>
      <c r="O26" s="39"/>
      <c r="P26" s="39"/>
      <c r="Q26" s="39"/>
    </row>
    <row r="27" spans="1:17" ht="13.5" thickBot="1">
      <c r="A27" s="53" t="str">
        <f>'E.S.P.'!B30</f>
        <v>TOTAL ACTIVO</v>
      </c>
      <c r="B27" s="56">
        <f>'E.S.P.'!C30</f>
        <v>264390.15</v>
      </c>
      <c r="C27" s="56">
        <f>'E.S.P.'!D30</f>
        <v>243901.87</v>
      </c>
      <c r="D27" s="69"/>
      <c r="E27" s="84"/>
      <c r="F27" s="85"/>
      <c r="G27" s="84"/>
      <c r="H27" s="85"/>
      <c r="I27" s="71"/>
      <c r="J27" s="41">
        <f t="shared" si="1"/>
        <v>0</v>
      </c>
      <c r="K27" s="39"/>
      <c r="M27" s="39"/>
      <c r="N27" s="39"/>
      <c r="O27" s="39"/>
      <c r="P27" s="39"/>
      <c r="Q27" s="39"/>
    </row>
    <row r="28" spans="1:17" ht="12.75">
      <c r="A28" s="29"/>
      <c r="B28" s="55"/>
      <c r="C28" s="55"/>
      <c r="D28" s="68"/>
      <c r="E28" s="84"/>
      <c r="F28" s="85"/>
      <c r="G28" s="84"/>
      <c r="H28" s="85"/>
      <c r="I28" s="71"/>
      <c r="J28" s="41">
        <f t="shared" si="1"/>
        <v>0</v>
      </c>
      <c r="K28" s="39"/>
      <c r="M28" s="39"/>
      <c r="N28" s="39"/>
      <c r="O28" s="39"/>
      <c r="P28" s="39"/>
      <c r="Q28" s="39"/>
    </row>
    <row r="29" spans="1:17" ht="12.75">
      <c r="A29" s="29" t="str">
        <f>'E.S.P.'!F9</f>
        <v>PASIVO CORRIENTE</v>
      </c>
      <c r="B29" s="40">
        <f>-'E.S.P.'!G9</f>
        <v>0</v>
      </c>
      <c r="C29" s="40">
        <f>-'E.S.P.'!H9</f>
        <v>0</v>
      </c>
      <c r="D29" s="67">
        <f aca="true" t="shared" si="3" ref="D29:D45">B29-C29</f>
        <v>0</v>
      </c>
      <c r="E29" s="84"/>
      <c r="F29" s="85"/>
      <c r="G29" s="84"/>
      <c r="H29" s="85"/>
      <c r="I29" s="71"/>
      <c r="J29" s="41">
        <f t="shared" si="1"/>
        <v>0</v>
      </c>
      <c r="K29" s="39"/>
      <c r="M29" s="39"/>
      <c r="N29" s="39"/>
      <c r="O29" s="39"/>
      <c r="P29" s="39"/>
      <c r="Q29" s="39"/>
    </row>
    <row r="30" spans="1:17" ht="12.75">
      <c r="A30" s="29" t="str">
        <f>'E.S.P.'!F10</f>
        <v>Deudas</v>
      </c>
      <c r="B30" s="40">
        <f>-'E.S.P.'!G10</f>
        <v>0</v>
      </c>
      <c r="C30" s="40">
        <f>-'E.S.P.'!H10</f>
        <v>0</v>
      </c>
      <c r="D30" s="67">
        <f t="shared" si="3"/>
        <v>0</v>
      </c>
      <c r="E30" s="84"/>
      <c r="F30" s="85"/>
      <c r="G30" s="84"/>
      <c r="H30" s="85"/>
      <c r="I30" s="71"/>
      <c r="J30" s="41">
        <f t="shared" si="1"/>
        <v>0</v>
      </c>
      <c r="K30" s="39"/>
      <c r="M30" s="39"/>
      <c r="N30" s="39"/>
      <c r="O30" s="39"/>
      <c r="P30" s="39"/>
      <c r="Q30" s="39"/>
    </row>
    <row r="31" spans="1:17" ht="12.75">
      <c r="A31" s="29" t="str">
        <f>'E.S.P.'!F11</f>
        <v>Comerciales (Nota 8)</v>
      </c>
      <c r="B31" s="40">
        <f>-'E.S.P.'!G11</f>
        <v>-30658.68</v>
      </c>
      <c r="C31" s="40">
        <f>-'E.S.P.'!H11</f>
        <v>-26301.87</v>
      </c>
      <c r="D31" s="67">
        <f t="shared" si="3"/>
        <v>-4356.810000000001</v>
      </c>
      <c r="E31" s="84"/>
      <c r="F31" s="85"/>
      <c r="G31" s="84"/>
      <c r="H31" s="85"/>
      <c r="I31" s="71"/>
      <c r="J31" s="41">
        <f t="shared" si="1"/>
        <v>-4356.810000000001</v>
      </c>
      <c r="K31" s="39"/>
      <c r="M31" s="39"/>
      <c r="N31" s="39"/>
      <c r="O31" s="39"/>
      <c r="P31" s="39"/>
      <c r="Q31" s="39"/>
    </row>
    <row r="32" spans="1:17" ht="38.25" customHeight="1">
      <c r="A32" s="29" t="str">
        <f>'E.S.P.'!F12</f>
        <v>Prestamos (Nota 9)</v>
      </c>
      <c r="B32" s="40">
        <f>-'E.S.P.'!G12</f>
        <v>-10524.33</v>
      </c>
      <c r="C32" s="40">
        <f>-'E.S.P.'!H12</f>
        <v>0</v>
      </c>
      <c r="D32" s="67">
        <f t="shared" si="3"/>
        <v>-10524.33</v>
      </c>
      <c r="E32" s="84"/>
      <c r="F32" s="85"/>
      <c r="G32" s="84"/>
      <c r="H32" s="85"/>
      <c r="I32" s="90"/>
      <c r="J32" s="41">
        <f t="shared" si="1"/>
        <v>-10524.33</v>
      </c>
      <c r="K32" s="119" t="s">
        <v>337</v>
      </c>
      <c r="M32" s="39"/>
      <c r="N32" s="39"/>
      <c r="O32" s="39"/>
      <c r="P32" s="39"/>
      <c r="Q32" s="39"/>
    </row>
    <row r="33" spans="1:17" ht="12.75">
      <c r="A33" s="29" t="str">
        <f>'E.S.P.'!F13</f>
        <v>Remuneraciones y C.Soc. (Nota 10)</v>
      </c>
      <c r="B33" s="40">
        <f>-'E.S.P.'!G13</f>
        <v>-1956.5</v>
      </c>
      <c r="C33" s="40">
        <f>-'E.S.P.'!H13</f>
        <v>0</v>
      </c>
      <c r="D33" s="67">
        <f t="shared" si="3"/>
        <v>-1956.5</v>
      </c>
      <c r="E33" s="84"/>
      <c r="F33" s="85"/>
      <c r="G33" s="84"/>
      <c r="H33" s="85"/>
      <c r="I33" s="71"/>
      <c r="J33" s="41">
        <f t="shared" si="1"/>
        <v>-1956.5</v>
      </c>
      <c r="K33" s="39"/>
      <c r="M33" s="39"/>
      <c r="N33" s="39"/>
      <c r="O33" s="39"/>
      <c r="P33" s="39"/>
      <c r="Q33" s="39"/>
    </row>
    <row r="34" spans="1:17" ht="12.75">
      <c r="A34" s="29" t="str">
        <f>'E.S.P.'!F14</f>
        <v>Cargas Fiscales (Nota 11)</v>
      </c>
      <c r="B34" s="40">
        <f>-'E.S.P.'!G14</f>
        <v>-507.64</v>
      </c>
      <c r="C34" s="40">
        <f>-'E.S.P.'!H14</f>
        <v>-1600</v>
      </c>
      <c r="D34" s="67">
        <f t="shared" si="3"/>
        <v>1092.3600000000001</v>
      </c>
      <c r="E34" s="84"/>
      <c r="F34" s="85"/>
      <c r="G34" s="123">
        <v>3690</v>
      </c>
      <c r="H34" s="85"/>
      <c r="I34" s="71" t="s">
        <v>340</v>
      </c>
      <c r="J34" s="41">
        <f t="shared" si="1"/>
        <v>4782.360000000001</v>
      </c>
      <c r="K34" s="39"/>
      <c r="M34" s="39"/>
      <c r="N34" s="39"/>
      <c r="O34" s="39"/>
      <c r="P34" s="39"/>
      <c r="Q34" s="39"/>
    </row>
    <row r="35" spans="1:17" ht="12.75">
      <c r="A35" s="29" t="str">
        <f>'E.S.P.'!F15</f>
        <v>Anticipos de Clientes (Nota 12)</v>
      </c>
      <c r="B35" s="40">
        <f>-'E.S.P.'!G15</f>
        <v>-1100</v>
      </c>
      <c r="C35" s="40">
        <f>-'E.S.P.'!H15</f>
        <v>0</v>
      </c>
      <c r="D35" s="67">
        <f t="shared" si="3"/>
        <v>-1100</v>
      </c>
      <c r="E35" s="84"/>
      <c r="F35" s="85"/>
      <c r="G35" s="84"/>
      <c r="H35" s="85"/>
      <c r="I35" s="71"/>
      <c r="J35" s="41">
        <f t="shared" si="1"/>
        <v>-1100</v>
      </c>
      <c r="K35" s="39"/>
      <c r="M35" s="39"/>
      <c r="N35" s="39"/>
      <c r="O35" s="39"/>
      <c r="P35" s="39"/>
      <c r="Q35" s="39"/>
    </row>
    <row r="36" spans="1:17" ht="12.75">
      <c r="A36" s="29" t="str">
        <f>'E.S.P.'!F16</f>
        <v>Dividendos a Pagar (Nota …)</v>
      </c>
      <c r="B36" s="40">
        <f>-'E.S.P.'!G16</f>
        <v>0</v>
      </c>
      <c r="C36" s="40">
        <f>-'E.S.P.'!H16</f>
        <v>0</v>
      </c>
      <c r="D36" s="67">
        <f t="shared" si="3"/>
        <v>0</v>
      </c>
      <c r="E36" s="88">
        <v>13600</v>
      </c>
      <c r="F36" s="85"/>
      <c r="G36" s="84"/>
      <c r="H36" s="85"/>
      <c r="I36" s="91" t="s">
        <v>173</v>
      </c>
      <c r="J36" s="41">
        <f t="shared" si="1"/>
        <v>13600</v>
      </c>
      <c r="K36" s="39"/>
      <c r="M36" s="39"/>
      <c r="N36" s="39"/>
      <c r="O36" s="39"/>
      <c r="P36" s="39"/>
      <c r="Q36" s="39"/>
    </row>
    <row r="37" spans="1:17" ht="12.75">
      <c r="A37" s="29" t="str">
        <f>'E.S.P.'!F17</f>
        <v>Otras (Nota …)</v>
      </c>
      <c r="B37" s="40">
        <f>-'E.S.P.'!G17</f>
        <v>0</v>
      </c>
      <c r="C37" s="40">
        <f>-'E.S.P.'!H17</f>
        <v>0</v>
      </c>
      <c r="D37" s="67">
        <f t="shared" si="3"/>
        <v>0</v>
      </c>
      <c r="E37" s="84"/>
      <c r="F37" s="85"/>
      <c r="G37" s="84"/>
      <c r="H37" s="85"/>
      <c r="I37" s="71"/>
      <c r="J37" s="41">
        <f t="shared" si="1"/>
        <v>0</v>
      </c>
      <c r="K37" s="39"/>
      <c r="M37" s="39"/>
      <c r="N37" s="39"/>
      <c r="O37" s="39"/>
      <c r="P37" s="39"/>
      <c r="Q37" s="39"/>
    </row>
    <row r="38" spans="1:17" ht="12.75">
      <c r="A38" s="29" t="str">
        <f>'E.S.P.'!F18</f>
        <v>Total deudas</v>
      </c>
      <c r="B38" s="40">
        <f>-'E.S.P.'!G18</f>
        <v>-44747.15</v>
      </c>
      <c r="C38" s="40">
        <f>-'E.S.P.'!H18</f>
        <v>-27901.87</v>
      </c>
      <c r="D38" s="68"/>
      <c r="E38" s="84"/>
      <c r="F38" s="85"/>
      <c r="G38" s="84"/>
      <c r="H38" s="85"/>
      <c r="I38" s="71"/>
      <c r="J38" s="41">
        <f t="shared" si="1"/>
        <v>0</v>
      </c>
      <c r="K38" s="39"/>
      <c r="M38" s="39"/>
      <c r="N38" s="39"/>
      <c r="O38" s="39"/>
      <c r="P38" s="39"/>
      <c r="Q38" s="39"/>
    </row>
    <row r="39" spans="1:17" ht="12.75">
      <c r="A39" s="29" t="str">
        <f>'E.S.P.'!F19</f>
        <v>Previsiones </v>
      </c>
      <c r="B39" s="40">
        <f>-'E.S.P.'!G19</f>
        <v>0</v>
      </c>
      <c r="C39" s="40">
        <f>-'E.S.P.'!H19</f>
        <v>0</v>
      </c>
      <c r="D39" s="67">
        <f t="shared" si="3"/>
        <v>0</v>
      </c>
      <c r="E39" s="84"/>
      <c r="F39" s="85"/>
      <c r="G39" s="84"/>
      <c r="H39" s="85"/>
      <c r="I39" s="71"/>
      <c r="J39" s="41">
        <f t="shared" si="1"/>
        <v>0</v>
      </c>
      <c r="K39" s="39"/>
      <c r="M39" s="39"/>
      <c r="N39" s="39"/>
      <c r="O39" s="39"/>
      <c r="P39" s="39"/>
      <c r="Q39" s="39"/>
    </row>
    <row r="40" spans="1:17" ht="12.75">
      <c r="A40" s="29" t="str">
        <f>'E.S.P.'!F20</f>
        <v>TOTAL PASIVO CORRIENTE</v>
      </c>
      <c r="B40" s="40">
        <f>-'E.S.P.'!G20</f>
        <v>-44747.15</v>
      </c>
      <c r="C40" s="40">
        <f>-'E.S.P.'!H20</f>
        <v>-27901.87</v>
      </c>
      <c r="D40" s="68"/>
      <c r="E40" s="84"/>
      <c r="F40" s="85"/>
      <c r="G40" s="84"/>
      <c r="H40" s="85"/>
      <c r="I40" s="71"/>
      <c r="J40" s="41">
        <f t="shared" si="1"/>
        <v>0</v>
      </c>
      <c r="K40" s="39"/>
      <c r="M40" s="39"/>
      <c r="N40" s="39"/>
      <c r="O40" s="39"/>
      <c r="P40" s="39"/>
      <c r="Q40" s="39"/>
    </row>
    <row r="41" spans="1:17" ht="12.75">
      <c r="A41" s="29">
        <f>'E.S.P.'!F21</f>
        <v>0</v>
      </c>
      <c r="B41" s="40">
        <f>-'E.S.P.'!G21</f>
        <v>0</v>
      </c>
      <c r="C41" s="40">
        <f>-'E.S.P.'!H21</f>
        <v>0</v>
      </c>
      <c r="D41" s="67">
        <f t="shared" si="3"/>
        <v>0</v>
      </c>
      <c r="E41" s="84"/>
      <c r="F41" s="85"/>
      <c r="G41" s="84"/>
      <c r="H41" s="85"/>
      <c r="I41" s="71"/>
      <c r="J41" s="41">
        <f t="shared" si="1"/>
        <v>0</v>
      </c>
      <c r="K41" s="39"/>
      <c r="M41" s="39"/>
      <c r="N41" s="39"/>
      <c r="O41" s="39"/>
      <c r="P41" s="39"/>
      <c r="Q41" s="39"/>
    </row>
    <row r="42" spans="1:17" ht="12.75">
      <c r="A42" s="29" t="str">
        <f>'E.S.P.'!F22</f>
        <v>PASIVO NO CORRIENTE</v>
      </c>
      <c r="B42" s="40">
        <f>-'E.S.P.'!G22</f>
        <v>0</v>
      </c>
      <c r="C42" s="40">
        <f>-'E.S.P.'!H22</f>
        <v>0</v>
      </c>
      <c r="D42" s="67">
        <f t="shared" si="3"/>
        <v>0</v>
      </c>
      <c r="E42" s="84"/>
      <c r="F42" s="85"/>
      <c r="G42" s="84"/>
      <c r="H42" s="85"/>
      <c r="I42" s="71"/>
      <c r="J42" s="41">
        <f t="shared" si="1"/>
        <v>0</v>
      </c>
      <c r="K42" s="39"/>
      <c r="M42" s="39"/>
      <c r="N42" s="39"/>
      <c r="O42" s="39"/>
      <c r="P42" s="39"/>
      <c r="Q42" s="39"/>
    </row>
    <row r="43" spans="1:17" ht="12.75">
      <c r="A43" s="29" t="str">
        <f>'E.S.P.'!F23</f>
        <v>Deudas</v>
      </c>
      <c r="B43" s="40">
        <f>-'E.S.P.'!G23</f>
        <v>0</v>
      </c>
      <c r="C43" s="40">
        <f>-'E.S.P.'!H23</f>
        <v>0</v>
      </c>
      <c r="D43" s="67">
        <f t="shared" si="3"/>
        <v>0</v>
      </c>
      <c r="E43" s="84"/>
      <c r="F43" s="85"/>
      <c r="G43" s="84"/>
      <c r="H43" s="85"/>
      <c r="I43" s="71"/>
      <c r="J43" s="41">
        <f t="shared" si="1"/>
        <v>0</v>
      </c>
      <c r="K43" s="39"/>
      <c r="M43" s="39"/>
      <c r="N43" s="39"/>
      <c r="O43" s="39"/>
      <c r="P43" s="39"/>
      <c r="Q43" s="39"/>
    </row>
    <row r="44" spans="1:17" ht="12.75">
      <c r="A44" s="29" t="str">
        <f>'E.S.P.'!F24</f>
        <v>Total deudas</v>
      </c>
      <c r="B44" s="40">
        <f>-'E.S.P.'!G24</f>
        <v>0</v>
      </c>
      <c r="C44" s="40">
        <f>-'E.S.P.'!H24</f>
        <v>0</v>
      </c>
      <c r="D44" s="67">
        <f t="shared" si="3"/>
        <v>0</v>
      </c>
      <c r="E44" s="84"/>
      <c r="F44" s="85"/>
      <c r="G44" s="84"/>
      <c r="H44" s="85"/>
      <c r="I44" s="71"/>
      <c r="J44" s="41">
        <f t="shared" si="1"/>
        <v>0</v>
      </c>
      <c r="K44" s="39"/>
      <c r="M44" s="39"/>
      <c r="N44" s="39"/>
      <c r="O44" s="39"/>
      <c r="P44" s="39"/>
      <c r="Q44" s="39"/>
    </row>
    <row r="45" spans="1:17" ht="12.75">
      <c r="A45" s="29" t="str">
        <f>'E.S.P.'!F25</f>
        <v>Previsiones </v>
      </c>
      <c r="B45" s="40">
        <f>-'E.S.P.'!G25</f>
        <v>0</v>
      </c>
      <c r="C45" s="40">
        <f>-'E.S.P.'!H25</f>
        <v>0</v>
      </c>
      <c r="D45" s="67">
        <f t="shared" si="3"/>
        <v>0</v>
      </c>
      <c r="E45" s="84"/>
      <c r="F45" s="85"/>
      <c r="G45" s="84"/>
      <c r="H45" s="85"/>
      <c r="I45" s="71"/>
      <c r="J45" s="41">
        <f t="shared" si="1"/>
        <v>0</v>
      </c>
      <c r="K45" s="39"/>
      <c r="M45" s="39"/>
      <c r="N45" s="39"/>
      <c r="O45" s="39"/>
      <c r="P45" s="39"/>
      <c r="Q45" s="39"/>
    </row>
    <row r="46" spans="1:17" ht="12.75">
      <c r="A46" s="29" t="str">
        <f>'E.S.P.'!F26</f>
        <v>TOTAL PASIVO NO CTE.</v>
      </c>
      <c r="B46" s="40">
        <f>-'E.S.P.'!G26</f>
        <v>0</v>
      </c>
      <c r="C46" s="40">
        <f>-'E.S.P.'!H26</f>
        <v>0</v>
      </c>
      <c r="D46" s="68"/>
      <c r="E46" s="84"/>
      <c r="F46" s="85"/>
      <c r="G46" s="84"/>
      <c r="H46" s="85"/>
      <c r="I46" s="71"/>
      <c r="J46" s="41">
        <f t="shared" si="1"/>
        <v>0</v>
      </c>
      <c r="K46" s="39"/>
      <c r="M46" s="39"/>
      <c r="N46" s="39"/>
      <c r="O46" s="39"/>
      <c r="P46" s="39"/>
      <c r="Q46" s="39"/>
    </row>
    <row r="47" spans="1:17" ht="12.75">
      <c r="A47" s="29" t="str">
        <f>'E.S.P.'!F27</f>
        <v>TOTAL DEL PASIVO</v>
      </c>
      <c r="B47" s="40">
        <f>-'E.S.P.'!G27</f>
        <v>-44747.15</v>
      </c>
      <c r="C47" s="40">
        <f>-'E.S.P.'!H27</f>
        <v>-27901.87</v>
      </c>
      <c r="D47" s="68"/>
      <c r="E47" s="84"/>
      <c r="F47" s="85"/>
      <c r="G47" s="84"/>
      <c r="H47" s="85"/>
      <c r="I47" s="71"/>
      <c r="J47" s="41">
        <f t="shared" si="1"/>
        <v>0</v>
      </c>
      <c r="K47" s="39"/>
      <c r="M47" s="39"/>
      <c r="N47" s="39"/>
      <c r="O47" s="39"/>
      <c r="P47" s="39"/>
      <c r="Q47" s="39"/>
    </row>
    <row r="48" spans="1:17" ht="12.75">
      <c r="A48" s="29">
        <f>'E.S.P.'!F28</f>
        <v>0</v>
      </c>
      <c r="B48" s="40">
        <f>-'E.S.P.'!G28</f>
        <v>0</v>
      </c>
      <c r="C48" s="40">
        <f>-'E.S.P.'!H28</f>
        <v>0</v>
      </c>
      <c r="D48" s="67">
        <f>B48-C48</f>
        <v>0</v>
      </c>
      <c r="E48" s="84"/>
      <c r="F48" s="85"/>
      <c r="G48" s="84"/>
      <c r="H48" s="85"/>
      <c r="I48" s="71"/>
      <c r="J48" s="41">
        <f t="shared" si="1"/>
        <v>0</v>
      </c>
      <c r="K48" s="39"/>
      <c r="M48" s="39"/>
      <c r="N48" s="39"/>
      <c r="O48" s="39"/>
      <c r="P48" s="39"/>
      <c r="Q48" s="39"/>
    </row>
    <row r="49" spans="1:17" ht="13.5" thickBot="1">
      <c r="A49" s="29" t="str">
        <f>'E.S.P.'!F29</f>
        <v>P.NETO (s/ Est. respectivo)</v>
      </c>
      <c r="B49" s="54">
        <f>-'E.S.P.'!G29-B66</f>
        <v>-202400</v>
      </c>
      <c r="C49" s="54">
        <f>-'E.S.P.'!H29</f>
        <v>-216000</v>
      </c>
      <c r="D49" s="67">
        <f>B49-C49</f>
        <v>13600</v>
      </c>
      <c r="E49" s="84"/>
      <c r="F49" s="88">
        <v>13600</v>
      </c>
      <c r="G49" s="84"/>
      <c r="H49" s="85"/>
      <c r="I49" s="91" t="s">
        <v>186</v>
      </c>
      <c r="J49" s="41">
        <f t="shared" si="1"/>
        <v>0</v>
      </c>
      <c r="M49" s="39"/>
      <c r="N49" s="39"/>
      <c r="O49" s="39"/>
      <c r="P49" s="39"/>
      <c r="Q49" s="39"/>
    </row>
    <row r="50" spans="1:17" ht="13.5" thickBot="1">
      <c r="A50" s="53" t="str">
        <f>'E.S.P.'!F30</f>
        <v>TOTAL</v>
      </c>
      <c r="B50" s="56">
        <f>-'E.S.P.'!G30</f>
        <v>-264390.15</v>
      </c>
      <c r="C50" s="56">
        <f>-'E.S.P.'!H30</f>
        <v>-243901.87</v>
      </c>
      <c r="D50" s="69"/>
      <c r="E50" s="84"/>
      <c r="F50" s="85"/>
      <c r="G50" s="84"/>
      <c r="H50" s="85"/>
      <c r="I50" s="71"/>
      <c r="J50" s="41">
        <f t="shared" si="1"/>
        <v>0</v>
      </c>
      <c r="M50" s="39"/>
      <c r="N50" s="39"/>
      <c r="O50" s="39"/>
      <c r="P50" s="39"/>
      <c r="Q50" s="39"/>
    </row>
    <row r="51" spans="1:17" ht="13.5" thickBot="1">
      <c r="A51" s="47"/>
      <c r="B51" s="48"/>
      <c r="C51" s="48"/>
      <c r="D51" s="48"/>
      <c r="E51" s="48"/>
      <c r="F51" s="48"/>
      <c r="G51" s="48"/>
      <c r="H51" s="48"/>
      <c r="I51" s="48"/>
      <c r="J51" s="48"/>
      <c r="M51" s="39"/>
      <c r="N51" s="39"/>
      <c r="O51" s="39"/>
      <c r="P51" s="39"/>
      <c r="Q51" s="39"/>
    </row>
    <row r="52" spans="1:17" ht="12.75">
      <c r="A52" s="112" t="str">
        <f>'E.RESUL'!B9</f>
        <v>Ventas Netas de Bienes  y Servicios</v>
      </c>
      <c r="B52" s="99">
        <f>-'E.RESUL'!C9</f>
        <v>-517645</v>
      </c>
      <c r="C52" s="100"/>
      <c r="D52" s="101">
        <f aca="true" t="shared" si="4" ref="D52:D61">B52-C52</f>
        <v>-517645</v>
      </c>
      <c r="E52" s="102"/>
      <c r="F52" s="103"/>
      <c r="G52" s="102"/>
      <c r="H52" s="103"/>
      <c r="I52" s="104"/>
      <c r="J52" s="103">
        <f t="shared" si="1"/>
        <v>-517645</v>
      </c>
      <c r="M52" s="39"/>
      <c r="N52" s="39"/>
      <c r="O52" s="39"/>
      <c r="P52" s="39"/>
      <c r="Q52" s="39"/>
    </row>
    <row r="53" spans="1:17" ht="12.75">
      <c r="A53" s="113" t="str">
        <f>'E.RESUL'!B10</f>
        <v>Costo de los Bienes Vendidos y Servicios Prestados</v>
      </c>
      <c r="B53" s="105">
        <f>-'E.RESUL'!C10</f>
        <v>419656.69999999995</v>
      </c>
      <c r="C53" s="30"/>
      <c r="D53" s="67">
        <f t="shared" si="4"/>
        <v>419656.69999999995</v>
      </c>
      <c r="E53" s="84"/>
      <c r="F53" s="85"/>
      <c r="G53" s="84"/>
      <c r="H53" s="85"/>
      <c r="I53" s="71"/>
      <c r="J53" s="85">
        <f t="shared" si="1"/>
        <v>419656.69999999995</v>
      </c>
      <c r="M53" s="39"/>
      <c r="N53" s="39"/>
      <c r="O53" s="39"/>
      <c r="P53" s="39"/>
      <c r="Q53" s="39"/>
    </row>
    <row r="54" spans="1:17" ht="12.75">
      <c r="A54" s="113"/>
      <c r="B54" s="105">
        <f>-'E.RESUL'!C11</f>
        <v>0</v>
      </c>
      <c r="C54" s="30"/>
      <c r="D54" s="67">
        <f t="shared" si="4"/>
        <v>0</v>
      </c>
      <c r="E54" s="84"/>
      <c r="F54" s="85"/>
      <c r="G54" s="84"/>
      <c r="H54" s="85"/>
      <c r="I54" s="71"/>
      <c r="J54" s="85">
        <f t="shared" si="1"/>
        <v>0</v>
      </c>
      <c r="M54" s="39"/>
      <c r="N54" s="39"/>
      <c r="O54" s="39"/>
      <c r="P54" s="39"/>
      <c r="Q54" s="39"/>
    </row>
    <row r="55" spans="1:17" ht="12.75">
      <c r="A55" s="113" t="str">
        <f>'E.RESUL'!B12</f>
        <v>Resultado por valuación Bs. Cb. a V.N.R. (Nota …)</v>
      </c>
      <c r="B55" s="105">
        <f>-'E.RESUL'!C12</f>
        <v>0</v>
      </c>
      <c r="C55" s="30"/>
      <c r="D55" s="67">
        <f t="shared" si="4"/>
        <v>0</v>
      </c>
      <c r="E55" s="84"/>
      <c r="F55" s="85"/>
      <c r="G55" s="84"/>
      <c r="H55" s="85"/>
      <c r="I55" s="71"/>
      <c r="J55" s="85">
        <f>D55+E55-F55+G55-H55</f>
        <v>0</v>
      </c>
      <c r="L55" s="39"/>
      <c r="M55" s="39"/>
      <c r="N55" s="39"/>
      <c r="O55" s="39"/>
      <c r="P55" s="39"/>
      <c r="Q55" s="39"/>
    </row>
    <row r="56" spans="1:10" ht="12.75">
      <c r="A56" s="113" t="str">
        <f>'E.RESUL'!B13</f>
        <v>Gastos de Comercialización (Anexo IV.)</v>
      </c>
      <c r="B56" s="105">
        <f>-'E.RESUL'!C13</f>
        <v>29821.359999999997</v>
      </c>
      <c r="C56" s="30"/>
      <c r="D56" s="67">
        <f t="shared" si="4"/>
        <v>29821.359999999997</v>
      </c>
      <c r="E56" s="84"/>
      <c r="F56" s="86">
        <v>8496</v>
      </c>
      <c r="G56" s="84"/>
      <c r="H56" s="85"/>
      <c r="I56" s="71" t="s">
        <v>187</v>
      </c>
      <c r="J56" s="85">
        <f>D56+E56-F56+G56-H56</f>
        <v>21325.359999999997</v>
      </c>
    </row>
    <row r="57" spans="1:10" ht="12.75">
      <c r="A57" s="113" t="str">
        <f>'E.RESUL'!B14</f>
        <v>Gastos de Administración (Anexo IV.)</v>
      </c>
      <c r="B57" s="105">
        <f>-'E.RESUL'!C14</f>
        <v>27135.109999999997</v>
      </c>
      <c r="C57" s="30"/>
      <c r="D57" s="67">
        <f t="shared" si="4"/>
        <v>27135.109999999997</v>
      </c>
      <c r="E57" s="84"/>
      <c r="F57" s="86">
        <v>5746.17</v>
      </c>
      <c r="G57" s="84"/>
      <c r="H57" s="85"/>
      <c r="I57" s="71" t="s">
        <v>187</v>
      </c>
      <c r="J57" s="85">
        <f>D57+E57-F57+G57-H57</f>
        <v>21388.939999999995</v>
      </c>
    </row>
    <row r="58" spans="1:10" ht="12.75">
      <c r="A58" s="113" t="str">
        <f>'E.RESUL'!B15</f>
        <v>Otros Gastos (Anexo IV)</v>
      </c>
      <c r="B58" s="105">
        <f>-'E.RESUL'!C15</f>
        <v>880.98</v>
      </c>
      <c r="C58" s="30"/>
      <c r="D58" s="67">
        <f t="shared" si="4"/>
        <v>880.98</v>
      </c>
      <c r="E58" s="84"/>
      <c r="F58" s="85"/>
      <c r="G58" s="84"/>
      <c r="H58" s="85"/>
      <c r="I58" s="71"/>
      <c r="J58" s="85">
        <f t="shared" si="1"/>
        <v>880.98</v>
      </c>
    </row>
    <row r="59" spans="1:10" ht="12.75">
      <c r="A59" s="113" t="str">
        <f>'E.RESUL'!B16</f>
        <v>Resultado de Inversiones en Entes Relacionados (Nota …)</v>
      </c>
      <c r="B59" s="105">
        <f>-'E.RESUL'!C16</f>
        <v>0</v>
      </c>
      <c r="C59" s="30"/>
      <c r="D59" s="67">
        <f t="shared" si="4"/>
        <v>0</v>
      </c>
      <c r="E59" s="84"/>
      <c r="F59" s="85"/>
      <c r="G59" s="84"/>
      <c r="H59" s="85"/>
      <c r="I59" s="71"/>
      <c r="J59" s="85">
        <f t="shared" si="1"/>
        <v>0</v>
      </c>
    </row>
    <row r="60" spans="1:10" ht="12.75">
      <c r="A60" s="113" t="str">
        <f>'E.RESUL'!B17</f>
        <v>Resultados Financieros y por Tenencia (incluido el R.E.C.P.A.M.) (Nota 1)</v>
      </c>
      <c r="B60" s="105">
        <f>-'E.RESUL'!C17</f>
        <v>42217.850000000006</v>
      </c>
      <c r="C60" s="30"/>
      <c r="D60" s="67">
        <f t="shared" si="4"/>
        <v>42217.850000000006</v>
      </c>
      <c r="E60" s="84"/>
      <c r="F60" s="85"/>
      <c r="G60" s="84"/>
      <c r="H60" s="117"/>
      <c r="I60" s="71"/>
      <c r="J60" s="85">
        <f t="shared" si="1"/>
        <v>42217.850000000006</v>
      </c>
    </row>
    <row r="61" spans="1:10" ht="12.75">
      <c r="A61" s="113" t="str">
        <f>'E.RESUL'!B18</f>
        <v>Otros Ingresos y Egresos (Nota 13)</v>
      </c>
      <c r="B61" s="105">
        <f>-'E.RESUL'!C18</f>
        <v>-23000</v>
      </c>
      <c r="C61" s="30"/>
      <c r="D61" s="67">
        <f t="shared" si="4"/>
        <v>-23000</v>
      </c>
      <c r="E61" s="84"/>
      <c r="F61" s="85"/>
      <c r="G61" s="120"/>
      <c r="H61" s="94">
        <v>12000</v>
      </c>
      <c r="I61" s="91" t="s">
        <v>338</v>
      </c>
      <c r="J61" s="85">
        <f t="shared" si="1"/>
        <v>-35000</v>
      </c>
    </row>
    <row r="62" spans="1:10" ht="12.75">
      <c r="A62" s="113" t="str">
        <f>'E.RESUL'!B19</f>
        <v>Ganancia (Pérdida) Antes de Impuesto a las Ganancias</v>
      </c>
      <c r="B62" s="105">
        <f>-'E.RESUL'!C19</f>
        <v>-20933.000000000036</v>
      </c>
      <c r="C62" s="30"/>
      <c r="D62" s="66"/>
      <c r="E62" s="84"/>
      <c r="F62" s="85"/>
      <c r="G62" s="84"/>
      <c r="H62" s="85"/>
      <c r="I62" s="71"/>
      <c r="J62" s="85">
        <f t="shared" si="1"/>
        <v>0</v>
      </c>
    </row>
    <row r="63" spans="1:10" ht="12.75">
      <c r="A63" s="113" t="str">
        <f>'E.RESUL'!B20</f>
        <v>Impuesto a las Ganancias (Nota …)</v>
      </c>
      <c r="B63" s="105">
        <f>-'E.RESUL'!C20</f>
        <v>3690</v>
      </c>
      <c r="C63" s="30"/>
      <c r="D63" s="67">
        <f>B63-C63</f>
        <v>3690</v>
      </c>
      <c r="E63" s="84"/>
      <c r="F63" s="85"/>
      <c r="G63" s="84"/>
      <c r="H63" s="87">
        <v>3690</v>
      </c>
      <c r="I63" s="71" t="s">
        <v>341</v>
      </c>
      <c r="J63" s="85">
        <f t="shared" si="1"/>
        <v>0</v>
      </c>
    </row>
    <row r="64" spans="1:10" ht="12.75">
      <c r="A64" s="113" t="str">
        <f>'E.RESUL'!B21</f>
        <v>Ganancia (Pérdida) de las Operaciones Ordinaria</v>
      </c>
      <c r="B64" s="105">
        <f>-'E.RESUL'!C21</f>
        <v>-17243.000000000036</v>
      </c>
      <c r="C64" s="30"/>
      <c r="D64" s="66"/>
      <c r="E64" s="84"/>
      <c r="F64" s="85"/>
      <c r="G64" s="84"/>
      <c r="H64" s="85"/>
      <c r="I64" s="71"/>
      <c r="J64" s="85">
        <f t="shared" si="1"/>
        <v>0</v>
      </c>
    </row>
    <row r="65" spans="1:10" ht="12.75">
      <c r="A65" s="113" t="str">
        <f>'E.RESUL'!B22</f>
        <v>Resultados de las Operaciones Extraordinarias (Nota.)</v>
      </c>
      <c r="B65" s="105">
        <f>-'E.RESUL'!C22</f>
        <v>0</v>
      </c>
      <c r="C65" s="30"/>
      <c r="D65" s="66">
        <f>-B65+C65</f>
        <v>0</v>
      </c>
      <c r="E65" s="84"/>
      <c r="F65" s="85"/>
      <c r="G65" s="84"/>
      <c r="H65" s="85"/>
      <c r="I65" s="71"/>
      <c r="J65" s="85">
        <f t="shared" si="1"/>
        <v>0</v>
      </c>
    </row>
    <row r="66" spans="1:10" ht="13.5" thickBot="1">
      <c r="A66" s="114" t="str">
        <f>'E.RESUL'!B23</f>
        <v>GANANCIA (PERDIDA) DEL EJERCICIO</v>
      </c>
      <c r="B66" s="106">
        <f>-'E.RESUL'!C23</f>
        <v>-17243.000000000036</v>
      </c>
      <c r="C66" s="107"/>
      <c r="D66" s="108"/>
      <c r="E66" s="109"/>
      <c r="F66" s="110"/>
      <c r="G66" s="109"/>
      <c r="H66" s="110"/>
      <c r="I66" s="111"/>
      <c r="J66" s="110">
        <f t="shared" si="1"/>
        <v>0</v>
      </c>
    </row>
    <row r="67" spans="1:10" ht="32.25" customHeight="1" thickBot="1">
      <c r="A67"/>
      <c r="B67" s="49" t="s">
        <v>57</v>
      </c>
      <c r="C67" s="49"/>
      <c r="D67" s="95">
        <f>SUM(D9:D66)</f>
        <v>4602.099999999933</v>
      </c>
      <c r="E67" s="96">
        <f>SUM(E9:E66)</f>
        <v>27842.17</v>
      </c>
      <c r="F67" s="97">
        <f>SUM(F9:F66)</f>
        <v>27842.17</v>
      </c>
      <c r="G67" s="96">
        <f>SUM(G9:G66)</f>
        <v>15690</v>
      </c>
      <c r="H67" s="97">
        <f>SUM(H9:H66)</f>
        <v>15690</v>
      </c>
      <c r="I67" s="98"/>
      <c r="J67" s="490">
        <f>SUM(J9:J66)</f>
        <v>4602.099999999969</v>
      </c>
    </row>
    <row r="68" spans="1:10" ht="12.75" customHeight="1" thickBot="1">
      <c r="A68"/>
      <c r="J68" s="97"/>
    </row>
    <row r="69" ht="12.75">
      <c r="D69" s="42"/>
    </row>
    <row r="74" spans="1:5" ht="12.75">
      <c r="A74" s="334"/>
      <c r="B74" s="335"/>
      <c r="C74" s="335"/>
      <c r="D74" s="335"/>
      <c r="E74" s="336"/>
    </row>
    <row r="75" spans="1:5" ht="13.5" thickBot="1">
      <c r="A75" s="334"/>
      <c r="B75" s="335"/>
      <c r="C75" s="335"/>
      <c r="D75" s="335"/>
      <c r="E75" s="336"/>
    </row>
    <row r="76" spans="1:5" ht="24" customHeight="1">
      <c r="A76" s="653" t="str">
        <f>CARAT!B11</f>
        <v>IMAGINATE S.R.L.</v>
      </c>
      <c r="B76" s="653"/>
      <c r="C76" s="653"/>
      <c r="D76" s="653"/>
      <c r="E76" s="654"/>
    </row>
    <row r="77" spans="1:5" ht="14.25">
      <c r="A77" s="660" t="s">
        <v>81</v>
      </c>
      <c r="B77" s="660"/>
      <c r="C77" s="660"/>
      <c r="D77" s="660"/>
      <c r="E77" s="661"/>
    </row>
    <row r="78" spans="1:5" ht="15" thickBot="1">
      <c r="A78" s="660" t="str">
        <f>'A.RTDOS'!B5</f>
        <v>Por el ejercicio finalizado el 31/12/2004</v>
      </c>
      <c r="B78" s="660"/>
      <c r="C78" s="660"/>
      <c r="D78" s="660"/>
      <c r="E78" s="661"/>
    </row>
    <row r="79" spans="1:5" ht="13.5" thickBot="1">
      <c r="A79" s="657" t="s">
        <v>78</v>
      </c>
      <c r="B79" s="658"/>
      <c r="C79" s="659"/>
      <c r="D79" s="655" t="s">
        <v>127</v>
      </c>
      <c r="E79" s="656"/>
    </row>
    <row r="80" spans="1:5" ht="12.75">
      <c r="A80" s="337" t="s">
        <v>82</v>
      </c>
      <c r="B80" s="335"/>
      <c r="C80" s="335"/>
      <c r="D80" s="647" t="s">
        <v>83</v>
      </c>
      <c r="E80" s="647" t="s">
        <v>452</v>
      </c>
    </row>
    <row r="81" spans="1:5" ht="13.5" thickBot="1">
      <c r="A81" s="367"/>
      <c r="B81" s="335"/>
      <c r="C81" s="335"/>
      <c r="D81" s="648"/>
      <c r="E81" s="648"/>
    </row>
    <row r="82" spans="1:5" ht="12.75">
      <c r="A82" s="640" t="s">
        <v>84</v>
      </c>
      <c r="B82" s="640"/>
      <c r="C82" s="641"/>
      <c r="D82" s="340">
        <f>C7+C8</f>
        <v>44681.21</v>
      </c>
      <c r="E82" s="341">
        <v>10607.21</v>
      </c>
    </row>
    <row r="83" spans="1:5" ht="13.5" thickBot="1">
      <c r="A83" s="640" t="s">
        <v>85</v>
      </c>
      <c r="B83" s="640"/>
      <c r="C83" s="641"/>
      <c r="D83" s="342">
        <v>0</v>
      </c>
      <c r="E83" s="343"/>
    </row>
    <row r="84" spans="1:5" ht="12.75">
      <c r="A84" s="640" t="s">
        <v>86</v>
      </c>
      <c r="B84" s="640"/>
      <c r="C84" s="641"/>
      <c r="D84" s="340">
        <f>SUM(D82:D83)</f>
        <v>44681.21</v>
      </c>
      <c r="E84" s="340">
        <f>SUM(E82:E83)</f>
        <v>10607.21</v>
      </c>
    </row>
    <row r="85" spans="1:5" ht="13.5" thickBot="1">
      <c r="A85" s="640" t="s">
        <v>449</v>
      </c>
      <c r="B85" s="640"/>
      <c r="C85" s="641"/>
      <c r="D85" s="344">
        <f>B7+B8</f>
        <v>40079.11</v>
      </c>
      <c r="E85" s="345">
        <v>44681.21</v>
      </c>
    </row>
    <row r="86" spans="1:5" s="27" customFormat="1" ht="13.5" thickBot="1">
      <c r="A86" s="643" t="s">
        <v>87</v>
      </c>
      <c r="B86" s="643"/>
      <c r="C86" s="644"/>
      <c r="D86" s="346">
        <f>D85-D84</f>
        <v>-4602.0999999999985</v>
      </c>
      <c r="E86" s="346">
        <f>E85-E84</f>
        <v>34074</v>
      </c>
    </row>
    <row r="87" spans="1:5" ht="12.75">
      <c r="A87" s="643" t="s">
        <v>88</v>
      </c>
      <c r="B87" s="643"/>
      <c r="C87" s="644"/>
      <c r="D87" s="340"/>
      <c r="E87" s="341"/>
    </row>
    <row r="88" spans="1:5" ht="12.75">
      <c r="A88" s="643" t="s">
        <v>89</v>
      </c>
      <c r="B88" s="643"/>
      <c r="C88" s="644"/>
      <c r="D88" s="347"/>
      <c r="E88" s="348"/>
    </row>
    <row r="89" spans="1:5" ht="12.75">
      <c r="A89" s="640" t="s">
        <v>90</v>
      </c>
      <c r="B89" s="640"/>
      <c r="C89" s="641"/>
      <c r="D89" s="349">
        <f>-B64</f>
        <v>17243.000000000036</v>
      </c>
      <c r="E89" s="348">
        <v>18541.83</v>
      </c>
    </row>
    <row r="90" spans="1:5" ht="26.25" customHeight="1">
      <c r="A90" s="645" t="s">
        <v>155</v>
      </c>
      <c r="B90" s="645"/>
      <c r="C90" s="646"/>
      <c r="D90" s="350">
        <f>D63</f>
        <v>3690</v>
      </c>
      <c r="E90" s="348">
        <v>3220</v>
      </c>
    </row>
    <row r="91" spans="1:5" ht="12.75">
      <c r="A91" s="638" t="s">
        <v>156</v>
      </c>
      <c r="B91" s="638"/>
      <c r="C91" s="639"/>
      <c r="D91" s="349"/>
      <c r="E91" s="348"/>
    </row>
    <row r="92" spans="1:5" ht="12.75">
      <c r="A92" s="640" t="s">
        <v>91</v>
      </c>
      <c r="B92" s="640"/>
      <c r="C92" s="641"/>
      <c r="D92" s="351">
        <f>E21+E24</f>
        <v>14242.17</v>
      </c>
      <c r="E92" s="348">
        <v>17042.17</v>
      </c>
    </row>
    <row r="93" spans="1:5" ht="12.75">
      <c r="A93" s="640" t="s">
        <v>92</v>
      </c>
      <c r="B93" s="640"/>
      <c r="C93" s="641"/>
      <c r="D93" s="349"/>
      <c r="E93" s="348"/>
    </row>
    <row r="94" spans="1:5" ht="12.75">
      <c r="A94" s="640" t="s">
        <v>93</v>
      </c>
      <c r="B94" s="640"/>
      <c r="C94" s="641"/>
      <c r="D94" s="349">
        <f>+D61</f>
        <v>-23000</v>
      </c>
      <c r="E94" s="348"/>
    </row>
    <row r="95" spans="1:5" ht="12.75">
      <c r="A95" s="640" t="s">
        <v>108</v>
      </c>
      <c r="B95" s="640"/>
      <c r="C95" s="641"/>
      <c r="D95" s="349"/>
      <c r="E95" s="348"/>
    </row>
    <row r="96" spans="1:5" ht="12.75">
      <c r="A96" s="640" t="s">
        <v>109</v>
      </c>
      <c r="B96" s="640"/>
      <c r="C96" s="641"/>
      <c r="D96" s="349"/>
      <c r="E96" s="348"/>
    </row>
    <row r="97" spans="1:5" ht="12.75">
      <c r="A97" s="640" t="s">
        <v>94</v>
      </c>
      <c r="B97" s="640"/>
      <c r="C97" s="641"/>
      <c r="D97" s="349"/>
      <c r="E97" s="348"/>
    </row>
    <row r="98" spans="1:6" ht="12.75">
      <c r="A98" s="640" t="s">
        <v>95</v>
      </c>
      <c r="B98" s="640"/>
      <c r="C98" s="641"/>
      <c r="D98" s="349">
        <f>-J9</f>
        <v>4517.459999999999</v>
      </c>
      <c r="E98" s="348">
        <v>-2100</v>
      </c>
      <c r="F98" s="121"/>
    </row>
    <row r="99" spans="1:17" ht="12.75">
      <c r="A99" s="640" t="s">
        <v>96</v>
      </c>
      <c r="B99" s="640"/>
      <c r="C99" s="641"/>
      <c r="D99" s="349">
        <f>-J10</f>
        <v>0</v>
      </c>
      <c r="E99" s="348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.75">
      <c r="A100" s="640" t="s">
        <v>97</v>
      </c>
      <c r="B100" s="640"/>
      <c r="C100" s="641"/>
      <c r="D100" s="349">
        <f>-J11</f>
        <v>-1350</v>
      </c>
      <c r="E100" s="348">
        <v>300</v>
      </c>
      <c r="F100" s="121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</row>
    <row r="101" spans="1:17" ht="13.5" customHeight="1">
      <c r="A101" s="640" t="s">
        <v>110</v>
      </c>
      <c r="B101" s="640"/>
      <c r="C101" s="641"/>
      <c r="D101" s="352">
        <f>-J33-J35</f>
        <v>3056.5</v>
      </c>
      <c r="E101" s="348">
        <v>-610</v>
      </c>
      <c r="F101" s="122"/>
      <c r="G101" s="33"/>
      <c r="H101" s="642" t="s">
        <v>111</v>
      </c>
      <c r="I101" s="642"/>
      <c r="J101" s="642"/>
      <c r="K101" s="642"/>
      <c r="L101" s="642"/>
      <c r="M101" s="642"/>
      <c r="N101" s="642"/>
      <c r="O101" s="642"/>
      <c r="P101" s="642"/>
      <c r="Q101" s="642"/>
    </row>
    <row r="102" spans="1:17" ht="12.75" customHeight="1">
      <c r="A102" s="640" t="s">
        <v>98</v>
      </c>
      <c r="B102" s="640"/>
      <c r="C102" s="641"/>
      <c r="D102" s="349">
        <f>-J31</f>
        <v>4356.810000000001</v>
      </c>
      <c r="E102" s="348">
        <v>480</v>
      </c>
      <c r="F102" s="122"/>
      <c r="G102" s="33"/>
      <c r="H102" s="642" t="s">
        <v>112</v>
      </c>
      <c r="I102" s="642"/>
      <c r="J102" s="642"/>
      <c r="K102" s="642"/>
      <c r="L102" s="642"/>
      <c r="M102" s="642"/>
      <c r="N102" s="642"/>
      <c r="O102" s="642"/>
      <c r="P102" s="488"/>
      <c r="Q102" s="488"/>
    </row>
    <row r="103" spans="1:17" ht="13.5" customHeight="1">
      <c r="A103" s="640" t="s">
        <v>456</v>
      </c>
      <c r="B103" s="640"/>
      <c r="C103" s="641"/>
      <c r="D103" s="349"/>
      <c r="E103" s="348"/>
      <c r="F103" s="33"/>
      <c r="G103" s="33"/>
      <c r="H103" s="642" t="s">
        <v>113</v>
      </c>
      <c r="I103" s="642"/>
      <c r="J103" s="642"/>
      <c r="K103" s="642"/>
      <c r="L103" s="642"/>
      <c r="M103" s="642"/>
      <c r="N103" s="642"/>
      <c r="O103" s="642"/>
      <c r="P103" s="642"/>
      <c r="Q103" s="642"/>
    </row>
    <row r="104" spans="1:17" ht="16.5">
      <c r="A104" s="640" t="s">
        <v>457</v>
      </c>
      <c r="B104" s="640"/>
      <c r="C104" s="641"/>
      <c r="D104" s="349">
        <f>-J34</f>
        <v>-4782.360000000001</v>
      </c>
      <c r="E104" s="348">
        <v>-2800</v>
      </c>
      <c r="F104" s="121"/>
      <c r="H104" s="488" t="s">
        <v>114</v>
      </c>
      <c r="I104" s="488"/>
      <c r="J104" s="488"/>
      <c r="K104" s="488"/>
      <c r="L104" s="488"/>
      <c r="M104" s="488"/>
      <c r="N104" s="488"/>
      <c r="O104" s="488"/>
      <c r="P104" s="488"/>
      <c r="Q104" s="488"/>
    </row>
    <row r="105" spans="1:17" ht="16.5">
      <c r="A105" s="640" t="s">
        <v>458</v>
      </c>
      <c r="B105" s="640"/>
      <c r="C105" s="641"/>
      <c r="D105" s="349"/>
      <c r="E105" s="348"/>
      <c r="H105" s="488" t="s">
        <v>115</v>
      </c>
      <c r="I105" s="488"/>
      <c r="J105" s="488"/>
      <c r="K105" s="488"/>
      <c r="L105" s="488"/>
      <c r="M105" s="488"/>
      <c r="N105" s="488"/>
      <c r="O105" s="488"/>
      <c r="P105" s="488"/>
      <c r="Q105" s="488"/>
    </row>
    <row r="106" spans="1:17" ht="16.5">
      <c r="A106" s="640" t="s">
        <v>459</v>
      </c>
      <c r="B106" s="640"/>
      <c r="C106" s="641"/>
      <c r="D106" s="353">
        <f>-J36</f>
        <v>-13600</v>
      </c>
      <c r="E106" s="348"/>
      <c r="H106" s="488" t="s">
        <v>116</v>
      </c>
      <c r="I106" s="488"/>
      <c r="J106" s="488"/>
      <c r="K106" s="488"/>
      <c r="L106" s="488"/>
      <c r="M106" s="488"/>
      <c r="N106" s="488"/>
      <c r="O106" s="488"/>
      <c r="P106" s="488"/>
      <c r="Q106" s="488"/>
    </row>
    <row r="107" spans="1:17" ht="16.5" thickBot="1">
      <c r="A107" s="640" t="s">
        <v>460</v>
      </c>
      <c r="B107" s="640"/>
      <c r="C107" s="641"/>
      <c r="D107" s="354"/>
      <c r="E107" s="345"/>
      <c r="F107" s="32"/>
      <c r="G107" s="32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5" ht="13.5" thickBot="1">
      <c r="A108" s="638" t="s">
        <v>157</v>
      </c>
      <c r="B108" s="638"/>
      <c r="C108" s="639"/>
      <c r="D108" s="355">
        <f>SUM(D89:D107)</f>
        <v>4373.5800000000345</v>
      </c>
      <c r="E108" s="355">
        <f>SUM(E89:E107)</f>
        <v>34074</v>
      </c>
    </row>
    <row r="109" spans="1:5" ht="12.75">
      <c r="A109" s="636"/>
      <c r="B109" s="636"/>
      <c r="C109" s="637"/>
      <c r="D109" s="356"/>
      <c r="E109" s="341"/>
    </row>
    <row r="110" spans="1:5" ht="12.75">
      <c r="A110" s="640" t="s">
        <v>99</v>
      </c>
      <c r="B110" s="640"/>
      <c r="C110" s="641"/>
      <c r="D110" s="349">
        <f>-B65</f>
        <v>0</v>
      </c>
      <c r="E110" s="348"/>
    </row>
    <row r="111" spans="1:7" ht="12.75">
      <c r="A111" s="640" t="s">
        <v>161</v>
      </c>
      <c r="B111" s="640"/>
      <c r="C111" s="641"/>
      <c r="D111" s="349"/>
      <c r="E111" s="348"/>
      <c r="F111" s="39"/>
      <c r="G111" s="39"/>
    </row>
    <row r="112" spans="1:5" ht="12.75">
      <c r="A112" s="640" t="s">
        <v>100</v>
      </c>
      <c r="B112" s="640"/>
      <c r="C112" s="641"/>
      <c r="D112" s="349"/>
      <c r="E112" s="348"/>
    </row>
    <row r="113" spans="1:5" ht="12.75">
      <c r="A113" s="640" t="s">
        <v>101</v>
      </c>
      <c r="B113" s="640"/>
      <c r="C113" s="641"/>
      <c r="D113" s="349"/>
      <c r="E113" s="348"/>
    </row>
    <row r="114" spans="1:5" ht="13.5" thickBot="1">
      <c r="A114" s="640" t="s">
        <v>162</v>
      </c>
      <c r="B114" s="640"/>
      <c r="C114" s="641"/>
      <c r="D114" s="354"/>
      <c r="E114" s="345"/>
    </row>
    <row r="115" spans="1:5" ht="19.5" customHeight="1" thickBot="1">
      <c r="A115" s="638" t="s">
        <v>461</v>
      </c>
      <c r="B115" s="638"/>
      <c r="C115" s="639"/>
      <c r="D115" s="357">
        <f>SUM(D110:D114)</f>
        <v>0</v>
      </c>
      <c r="E115" s="358"/>
    </row>
    <row r="116" spans="1:5" ht="13.5" thickBot="1">
      <c r="A116" s="638" t="s">
        <v>158</v>
      </c>
      <c r="B116" s="638"/>
      <c r="C116" s="639"/>
      <c r="D116" s="359">
        <f>+D108+D115</f>
        <v>4373.5800000000345</v>
      </c>
      <c r="E116" s="359">
        <f>+E108+E115</f>
        <v>34074</v>
      </c>
    </row>
    <row r="117" spans="1:5" ht="12.75">
      <c r="A117" s="636" t="s">
        <v>453</v>
      </c>
      <c r="B117" s="636"/>
      <c r="C117" s="637"/>
      <c r="D117" s="356"/>
      <c r="E117" s="341"/>
    </row>
    <row r="118" spans="1:5" ht="12.75">
      <c r="A118" s="636" t="s">
        <v>102</v>
      </c>
      <c r="B118" s="636"/>
      <c r="C118" s="637"/>
      <c r="D118" s="349">
        <v>35000</v>
      </c>
      <c r="E118" s="348"/>
    </row>
    <row r="119" spans="1:6" ht="12.75">
      <c r="A119" s="636" t="s">
        <v>103</v>
      </c>
      <c r="B119" s="636"/>
      <c r="C119" s="637"/>
      <c r="D119" s="349">
        <f>-J21</f>
        <v>-46000</v>
      </c>
      <c r="E119" s="348"/>
      <c r="F119" s="121"/>
    </row>
    <row r="120" spans="1:5" ht="12.75">
      <c r="A120" s="636" t="s">
        <v>104</v>
      </c>
      <c r="B120" s="636"/>
      <c r="C120" s="637"/>
      <c r="D120" s="349"/>
      <c r="E120" s="348"/>
    </row>
    <row r="121" spans="1:6" ht="13.5" thickBot="1">
      <c r="A121" s="636" t="s">
        <v>342</v>
      </c>
      <c r="B121" s="636"/>
      <c r="C121" s="637"/>
      <c r="D121" s="354">
        <f>-J23</f>
        <v>-8500</v>
      </c>
      <c r="E121" s="345"/>
      <c r="F121" s="121"/>
    </row>
    <row r="122" spans="1:5" ht="13.5" thickBot="1">
      <c r="A122" s="638" t="s">
        <v>159</v>
      </c>
      <c r="B122" s="638"/>
      <c r="C122" s="639"/>
      <c r="D122" s="359">
        <f>SUM(D118:D121)</f>
        <v>-19500</v>
      </c>
      <c r="E122" s="359">
        <f>SUM(E118:E121)</f>
        <v>0</v>
      </c>
    </row>
    <row r="123" spans="1:5" ht="12.75">
      <c r="A123" s="636" t="s">
        <v>454</v>
      </c>
      <c r="B123" s="636"/>
      <c r="C123" s="637"/>
      <c r="D123" s="356"/>
      <c r="E123" s="341"/>
    </row>
    <row r="124" spans="1:5" ht="12.75">
      <c r="A124" s="636" t="s">
        <v>105</v>
      </c>
      <c r="B124" s="636"/>
      <c r="C124" s="637"/>
      <c r="D124" s="349"/>
      <c r="E124" s="348"/>
    </row>
    <row r="125" spans="1:6" ht="12.75">
      <c r="A125" s="338" t="s">
        <v>174</v>
      </c>
      <c r="B125" s="338"/>
      <c r="C125" s="339"/>
      <c r="D125" s="349">
        <f>-J32</f>
        <v>10524.33</v>
      </c>
      <c r="E125" s="348"/>
      <c r="F125" s="121"/>
    </row>
    <row r="126" spans="1:5" ht="12.75">
      <c r="A126" s="636" t="s">
        <v>106</v>
      </c>
      <c r="B126" s="636"/>
      <c r="C126" s="637"/>
      <c r="D126" s="349"/>
      <c r="E126" s="348"/>
    </row>
    <row r="127" spans="1:5" ht="13.5" thickBot="1">
      <c r="A127" s="636" t="s">
        <v>107</v>
      </c>
      <c r="B127" s="636"/>
      <c r="C127" s="637"/>
      <c r="D127" s="354"/>
      <c r="E127" s="345"/>
    </row>
    <row r="128" spans="1:5" ht="13.5" thickBot="1">
      <c r="A128" s="638" t="s">
        <v>160</v>
      </c>
      <c r="B128" s="638"/>
      <c r="C128" s="639"/>
      <c r="D128" s="359">
        <f>SUM(D124:D127)</f>
        <v>10524.33</v>
      </c>
      <c r="E128" s="359">
        <f>SUM(E124:E127)</f>
        <v>0</v>
      </c>
    </row>
    <row r="129" spans="1:5" ht="19.5" thickBot="1">
      <c r="A129" s="638" t="s">
        <v>455</v>
      </c>
      <c r="B129" s="638"/>
      <c r="C129" s="639"/>
      <c r="D129" s="359">
        <f>D116+D122+D128</f>
        <v>-4602.089999999966</v>
      </c>
      <c r="E129" s="359">
        <f>E116+E122+E128</f>
        <v>34074</v>
      </c>
    </row>
    <row r="130" spans="1:5" ht="12.75">
      <c r="A130" s="338"/>
      <c r="B130" s="360"/>
      <c r="C130" s="360"/>
      <c r="D130" s="360"/>
      <c r="E130" s="361"/>
    </row>
    <row r="131" spans="1:5" ht="12.75">
      <c r="A131" s="640" t="s">
        <v>171</v>
      </c>
      <c r="B131" s="640"/>
      <c r="C131" s="640"/>
      <c r="D131" s="640"/>
      <c r="E131" s="361"/>
    </row>
    <row r="132" spans="1:5" ht="12.75">
      <c r="A132" s="363"/>
      <c r="B132" s="363"/>
      <c r="C132" s="363"/>
      <c r="D132" s="363"/>
      <c r="E132" s="361"/>
    </row>
    <row r="133" spans="1:5" ht="13.5" thickBot="1">
      <c r="A133" s="362"/>
      <c r="B133" s="360"/>
      <c r="C133" s="360"/>
      <c r="D133" s="360"/>
      <c r="E133" s="361"/>
    </row>
    <row r="134" spans="1:5" ht="13.5" thickBot="1">
      <c r="A134" s="633" t="s">
        <v>70</v>
      </c>
      <c r="B134" s="634"/>
      <c r="C134" s="634"/>
      <c r="D134" s="635"/>
      <c r="E134" s="361"/>
    </row>
    <row r="135" spans="1:5" ht="13.5" thickBot="1">
      <c r="A135" s="364"/>
      <c r="B135" s="365"/>
      <c r="C135" s="365"/>
      <c r="D135" s="365"/>
      <c r="E135" s="366"/>
    </row>
    <row r="136" spans="1:5" ht="12.75">
      <c r="A136" s="367"/>
      <c r="B136" s="368"/>
      <c r="C136" s="368"/>
      <c r="D136" s="368"/>
      <c r="E136" s="369"/>
    </row>
    <row r="137" spans="1:5" ht="12.75">
      <c r="A137" s="334"/>
      <c r="B137" s="352"/>
      <c r="C137" s="352"/>
      <c r="D137" s="352"/>
      <c r="E137" s="336"/>
    </row>
    <row r="138" spans="1:5" ht="12.75">
      <c r="A138" s="334"/>
      <c r="B138" s="370"/>
      <c r="C138" s="370"/>
      <c r="D138" s="370"/>
      <c r="E138" s="336"/>
    </row>
    <row r="139" spans="1:5" ht="12.75">
      <c r="A139" s="334"/>
      <c r="B139" s="370"/>
      <c r="C139" s="370"/>
      <c r="D139" s="370"/>
      <c r="E139" s="336"/>
    </row>
    <row r="140" spans="1:5" ht="12.75">
      <c r="A140" s="334"/>
      <c r="B140" s="370"/>
      <c r="C140" s="370"/>
      <c r="D140" s="370"/>
      <c r="E140" s="336"/>
    </row>
    <row r="141" spans="1:5" ht="12.75">
      <c r="A141" s="334"/>
      <c r="B141" s="370"/>
      <c r="C141" s="370"/>
      <c r="D141" s="370"/>
      <c r="E141" s="336"/>
    </row>
    <row r="142" spans="1:5" ht="12.75">
      <c r="A142" s="334"/>
      <c r="B142" s="370"/>
      <c r="C142" s="370"/>
      <c r="D142" s="370"/>
      <c r="E142" s="336"/>
    </row>
    <row r="143" spans="1:5" ht="12.75">
      <c r="A143" s="334"/>
      <c r="B143" s="370"/>
      <c r="C143" s="370"/>
      <c r="D143" s="370"/>
      <c r="E143" s="336"/>
    </row>
    <row r="144" spans="1:5" ht="12.75">
      <c r="A144" s="334"/>
      <c r="B144" s="370"/>
      <c r="C144" s="370"/>
      <c r="D144" s="370"/>
      <c r="E144" s="336"/>
    </row>
    <row r="145" spans="1:5" ht="12.75">
      <c r="A145" s="334"/>
      <c r="B145" s="370"/>
      <c r="C145" s="370"/>
      <c r="D145" s="370"/>
      <c r="E145" s="336"/>
    </row>
    <row r="146" spans="1:5" ht="12.75">
      <c r="A146" s="334"/>
      <c r="B146" s="370"/>
      <c r="C146" s="370"/>
      <c r="D146" s="370"/>
      <c r="E146" s="336"/>
    </row>
    <row r="147" spans="1:5" ht="12.75">
      <c r="A147" s="334"/>
      <c r="B147" s="370"/>
      <c r="C147" s="370"/>
      <c r="D147" s="370"/>
      <c r="E147" s="336"/>
    </row>
    <row r="148" spans="1:5" ht="12.75">
      <c r="A148" s="334"/>
      <c r="B148" s="370"/>
      <c r="C148" s="370"/>
      <c r="D148" s="370"/>
      <c r="E148" s="336"/>
    </row>
    <row r="149" spans="1:5" ht="12.75">
      <c r="A149" s="334"/>
      <c r="B149" s="370"/>
      <c r="C149" s="370"/>
      <c r="D149" s="370"/>
      <c r="E149" s="336"/>
    </row>
    <row r="150" spans="1:5" ht="12.75">
      <c r="A150" s="334"/>
      <c r="B150" s="370"/>
      <c r="C150" s="370"/>
      <c r="D150" s="370"/>
      <c r="E150" s="336"/>
    </row>
    <row r="151" spans="1:5" ht="12.75">
      <c r="A151" s="334"/>
      <c r="B151" s="370"/>
      <c r="C151" s="370"/>
      <c r="D151" s="370"/>
      <c r="E151" s="336"/>
    </row>
    <row r="152" spans="1:5" ht="12.75">
      <c r="A152" s="334"/>
      <c r="B152" s="335"/>
      <c r="C152" s="335"/>
      <c r="D152" s="335"/>
      <c r="E152" s="336"/>
    </row>
    <row r="153" spans="1:5" ht="12.75">
      <c r="A153" s="334"/>
      <c r="B153" s="335"/>
      <c r="C153" s="335"/>
      <c r="D153" s="335"/>
      <c r="E153" s="336"/>
    </row>
    <row r="154" spans="1:5" ht="12.75">
      <c r="A154" s="334"/>
      <c r="B154" s="335"/>
      <c r="C154" s="335"/>
      <c r="D154" s="335"/>
      <c r="E154" s="336"/>
    </row>
    <row r="155" spans="1:5" ht="12.75">
      <c r="A155" s="334"/>
      <c r="B155" s="335"/>
      <c r="C155" s="335"/>
      <c r="D155" s="335"/>
      <c r="E155" s="336"/>
    </row>
    <row r="156" spans="1:5" ht="12.75">
      <c r="A156" s="334"/>
      <c r="B156" s="335"/>
      <c r="C156" s="335"/>
      <c r="D156" s="335"/>
      <c r="E156" s="336"/>
    </row>
    <row r="157" spans="1:5" ht="12.75">
      <c r="A157" s="334"/>
      <c r="B157" s="335"/>
      <c r="C157" s="335"/>
      <c r="D157" s="335"/>
      <c r="E157" s="336"/>
    </row>
    <row r="158" spans="1:5" ht="12.75">
      <c r="A158" s="334"/>
      <c r="B158" s="335"/>
      <c r="C158" s="335"/>
      <c r="D158" s="335"/>
      <c r="E158" s="336"/>
    </row>
    <row r="159" spans="1:5" ht="12.75">
      <c r="A159" s="334"/>
      <c r="B159" s="335"/>
      <c r="C159" s="335"/>
      <c r="D159" s="335"/>
      <c r="E159" s="336"/>
    </row>
    <row r="160" spans="1:5" ht="12.75">
      <c r="A160" s="334"/>
      <c r="B160" s="335"/>
      <c r="C160" s="335"/>
      <c r="D160" s="335"/>
      <c r="E160" s="336"/>
    </row>
    <row r="161" spans="1:5" ht="12.75">
      <c r="A161" s="334"/>
      <c r="B161" s="335"/>
      <c r="C161" s="335"/>
      <c r="D161" s="335"/>
      <c r="E161" s="336"/>
    </row>
    <row r="162" spans="1:5" ht="12.75">
      <c r="A162" s="334"/>
      <c r="B162" s="335"/>
      <c r="C162" s="335"/>
      <c r="D162" s="335"/>
      <c r="E162" s="336"/>
    </row>
    <row r="163" spans="1:5" ht="12.75">
      <c r="A163" s="334"/>
      <c r="B163" s="335"/>
      <c r="C163" s="335"/>
      <c r="D163" s="335"/>
      <c r="E163" s="336"/>
    </row>
    <row r="164" spans="1:5" ht="12.75">
      <c r="A164" s="334"/>
      <c r="B164" s="335"/>
      <c r="C164" s="335"/>
      <c r="D164" s="335"/>
      <c r="E164" s="336"/>
    </row>
    <row r="165" spans="1:5" ht="12.75">
      <c r="A165" s="334"/>
      <c r="B165" s="335"/>
      <c r="C165" s="335"/>
      <c r="D165" s="335"/>
      <c r="E165" s="336"/>
    </row>
    <row r="166" spans="1:5" ht="12.75">
      <c r="A166" s="334"/>
      <c r="B166" s="335"/>
      <c r="C166" s="335"/>
      <c r="D166" s="335"/>
      <c r="E166" s="336"/>
    </row>
    <row r="167" spans="1:5" ht="12.75">
      <c r="A167" s="334"/>
      <c r="B167" s="335"/>
      <c r="C167" s="335"/>
      <c r="D167" s="335"/>
      <c r="E167" s="336"/>
    </row>
    <row r="168" spans="1:5" ht="12.75">
      <c r="A168" s="334"/>
      <c r="B168" s="335"/>
      <c r="C168" s="335"/>
      <c r="D168" s="335"/>
      <c r="E168" s="336"/>
    </row>
    <row r="169" spans="1:5" ht="12.75">
      <c r="A169" s="334"/>
      <c r="B169" s="335"/>
      <c r="C169" s="335"/>
      <c r="D169" s="335"/>
      <c r="E169" s="336"/>
    </row>
    <row r="170" spans="1:5" ht="12.75">
      <c r="A170" s="334"/>
      <c r="B170" s="335"/>
      <c r="C170" s="335"/>
      <c r="D170" s="335"/>
      <c r="E170" s="336"/>
    </row>
    <row r="171" spans="1:5" ht="12.75">
      <c r="A171" s="334"/>
      <c r="B171" s="335"/>
      <c r="C171" s="335"/>
      <c r="D171" s="335"/>
      <c r="E171" s="336"/>
    </row>
    <row r="172" spans="1:5" ht="12.75">
      <c r="A172" s="334"/>
      <c r="B172" s="335"/>
      <c r="C172" s="335"/>
      <c r="D172" s="335"/>
      <c r="E172" s="336"/>
    </row>
    <row r="173" spans="1:5" ht="12.75">
      <c r="A173" s="334"/>
      <c r="B173" s="335"/>
      <c r="C173" s="335"/>
      <c r="D173" s="335"/>
      <c r="E173" s="336"/>
    </row>
    <row r="174" spans="1:5" ht="12.75">
      <c r="A174" s="334"/>
      <c r="B174" s="335"/>
      <c r="C174" s="335"/>
      <c r="D174" s="335"/>
      <c r="E174" s="336"/>
    </row>
    <row r="175" spans="1:5" ht="12.75">
      <c r="A175" s="334"/>
      <c r="B175" s="335"/>
      <c r="C175" s="335"/>
      <c r="D175" s="335"/>
      <c r="E175" s="336"/>
    </row>
    <row r="176" spans="1:5" ht="12.75">
      <c r="A176" s="334"/>
      <c r="B176" s="335"/>
      <c r="C176" s="335"/>
      <c r="D176" s="335"/>
      <c r="E176" s="336"/>
    </row>
    <row r="177" spans="1:5" ht="12.75">
      <c r="A177" s="334"/>
      <c r="B177" s="335"/>
      <c r="C177" s="335"/>
      <c r="D177" s="335"/>
      <c r="E177" s="336"/>
    </row>
    <row r="178" spans="1:5" ht="12.75">
      <c r="A178" s="334"/>
      <c r="B178" s="335"/>
      <c r="C178" s="335"/>
      <c r="D178" s="335"/>
      <c r="E178" s="336"/>
    </row>
    <row r="179" spans="1:5" ht="12.75">
      <c r="A179" s="334"/>
      <c r="B179" s="335"/>
      <c r="C179" s="335"/>
      <c r="D179" s="335"/>
      <c r="E179" s="336"/>
    </row>
    <row r="180" spans="1:5" ht="12.75">
      <c r="A180" s="334"/>
      <c r="B180" s="335"/>
      <c r="C180" s="335"/>
      <c r="D180" s="335"/>
      <c r="E180" s="336"/>
    </row>
    <row r="181" spans="1:5" ht="12.75">
      <c r="A181" s="334"/>
      <c r="B181" s="335"/>
      <c r="C181" s="335"/>
      <c r="D181" s="335"/>
      <c r="E181" s="336"/>
    </row>
    <row r="182" spans="1:5" ht="12.75">
      <c r="A182" s="334"/>
      <c r="B182" s="335"/>
      <c r="C182" s="335"/>
      <c r="D182" s="335"/>
      <c r="E182" s="336"/>
    </row>
    <row r="183" spans="1:5" ht="12.75">
      <c r="A183" s="334"/>
      <c r="B183" s="335"/>
      <c r="C183" s="335"/>
      <c r="D183" s="335"/>
      <c r="E183" s="336"/>
    </row>
    <row r="184" spans="1:5" ht="12.75">
      <c r="A184" s="334"/>
      <c r="B184" s="335"/>
      <c r="C184" s="335"/>
      <c r="D184" s="335"/>
      <c r="E184" s="336"/>
    </row>
    <row r="185" spans="1:5" ht="12.75">
      <c r="A185" s="334"/>
      <c r="B185" s="335"/>
      <c r="C185" s="335"/>
      <c r="D185" s="335"/>
      <c r="E185" s="336"/>
    </row>
    <row r="186" spans="1:5" ht="12.75">
      <c r="A186" s="334"/>
      <c r="B186" s="335"/>
      <c r="C186" s="335"/>
      <c r="D186" s="335"/>
      <c r="E186" s="336"/>
    </row>
    <row r="187" spans="1:5" ht="12.75">
      <c r="A187" s="334"/>
      <c r="B187" s="335"/>
      <c r="C187" s="335"/>
      <c r="D187" s="335"/>
      <c r="E187" s="336"/>
    </row>
    <row r="188" spans="1:5" ht="12.75">
      <c r="A188" s="334"/>
      <c r="B188" s="335"/>
      <c r="C188" s="335"/>
      <c r="D188" s="335"/>
      <c r="E188" s="336"/>
    </row>
    <row r="189" spans="1:5" ht="12.75">
      <c r="A189" s="334"/>
      <c r="B189" s="335"/>
      <c r="C189" s="335"/>
      <c r="D189" s="335"/>
      <c r="E189" s="336"/>
    </row>
    <row r="190" spans="1:5" ht="12.75">
      <c r="A190" s="334"/>
      <c r="B190" s="335"/>
      <c r="C190" s="335"/>
      <c r="D190" s="335"/>
      <c r="E190" s="336"/>
    </row>
    <row r="191" spans="1:5" ht="12.75">
      <c r="A191" s="334"/>
      <c r="B191" s="335"/>
      <c r="C191" s="335"/>
      <c r="D191" s="335"/>
      <c r="E191" s="336"/>
    </row>
    <row r="192" spans="1:5" ht="12.75">
      <c r="A192" s="334"/>
      <c r="B192" s="335"/>
      <c r="C192" s="335"/>
      <c r="D192" s="335"/>
      <c r="E192" s="336"/>
    </row>
    <row r="193" spans="1:5" ht="12.75">
      <c r="A193" s="334"/>
      <c r="B193" s="335"/>
      <c r="C193" s="335"/>
      <c r="D193" s="335"/>
      <c r="E193" s="336"/>
    </row>
    <row r="194" spans="1:5" ht="12.75">
      <c r="A194" s="334"/>
      <c r="B194" s="335"/>
      <c r="C194" s="335"/>
      <c r="D194" s="335"/>
      <c r="E194" s="336"/>
    </row>
  </sheetData>
  <mergeCells count="61">
    <mergeCell ref="B3:C3"/>
    <mergeCell ref="J7:J8"/>
    <mergeCell ref="A76:E76"/>
    <mergeCell ref="D79:E79"/>
    <mergeCell ref="A79:C79"/>
    <mergeCell ref="A77:E77"/>
    <mergeCell ref="A78:E78"/>
    <mergeCell ref="D80:D81"/>
    <mergeCell ref="E80:E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H101:Q101"/>
    <mergeCell ref="A102:C102"/>
    <mergeCell ref="H102:O102"/>
    <mergeCell ref="A103:C103"/>
    <mergeCell ref="H103:Q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6:C126"/>
    <mergeCell ref="A134:D134"/>
    <mergeCell ref="A127:C127"/>
    <mergeCell ref="A128:C128"/>
    <mergeCell ref="A129:C129"/>
    <mergeCell ref="A131:D131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0"/>
  <sheetViews>
    <sheetView showGridLines="0" tabSelected="1" workbookViewId="0" topLeftCell="A1">
      <selection activeCell="E17" sqref="E17"/>
    </sheetView>
  </sheetViews>
  <sheetFormatPr defaultColWidth="11.421875" defaultRowHeight="12.75"/>
  <cols>
    <col min="1" max="1" width="52.28125" style="0" customWidth="1"/>
    <col min="2" max="2" width="21.140625" style="124" customWidth="1"/>
    <col min="3" max="3" width="24.57421875" style="124" customWidth="1"/>
    <col min="4" max="4" width="12.28125" style="0" bestFit="1" customWidth="1"/>
  </cols>
  <sheetData>
    <row r="1" spans="1:4" ht="15.75">
      <c r="A1" s="663" t="s">
        <v>343</v>
      </c>
      <c r="B1" s="664"/>
      <c r="C1" s="664"/>
      <c r="D1" s="665"/>
    </row>
    <row r="2" spans="1:4" ht="12.75">
      <c r="A2" s="146" t="str">
        <f>CARAT!B11</f>
        <v>IMAGINATE S.R.L.</v>
      </c>
      <c r="B2" s="662"/>
      <c r="C2" s="662"/>
      <c r="D2" s="662"/>
    </row>
    <row r="3" spans="1:4" ht="12.75">
      <c r="A3" s="146" t="str">
        <f>CARAT!B2</f>
        <v>EJERCICIO ANUAL Nº 5</v>
      </c>
      <c r="B3" s="662"/>
      <c r="C3" s="662"/>
      <c r="D3" s="662"/>
    </row>
    <row r="4" spans="1:4" ht="12.75">
      <c r="A4" s="147" t="str">
        <f>CARAT!B4</f>
        <v>FINALIZADO EL: 31/12/2004</v>
      </c>
      <c r="B4" s="662"/>
      <c r="C4" s="662"/>
      <c r="D4" s="662"/>
    </row>
    <row r="5" spans="1:4" ht="13.5" thickBot="1">
      <c r="A5" s="145"/>
      <c r="B5" s="148" t="s">
        <v>344</v>
      </c>
      <c r="C5" s="149" t="s">
        <v>345</v>
      </c>
      <c r="D5" s="150" t="s">
        <v>413</v>
      </c>
    </row>
    <row r="6" spans="1:4" ht="13.5" thickBot="1">
      <c r="A6" s="137" t="s">
        <v>346</v>
      </c>
      <c r="B6" s="138"/>
      <c r="C6" s="139"/>
      <c r="D6" s="142"/>
    </row>
    <row r="7" spans="1:4" ht="13.5" thickBot="1">
      <c r="A7" s="125" t="s">
        <v>347</v>
      </c>
      <c r="B7" s="127">
        <f>'E.S.P.'!C17</f>
        <v>216291.65</v>
      </c>
      <c r="C7" s="140">
        <f>'E.S.P.'!D17</f>
        <v>224061.21</v>
      </c>
      <c r="D7" s="143">
        <f>ROUND(((B7/C7)-1)*100,2)</f>
        <v>-3.47</v>
      </c>
    </row>
    <row r="8" spans="1:4" ht="13.5" thickBot="1">
      <c r="A8" s="125" t="s">
        <v>412</v>
      </c>
      <c r="B8" s="127">
        <f>'E.S.P.'!C10</f>
        <v>31560</v>
      </c>
      <c r="C8" s="140">
        <f>'E.S.P.'!D10</f>
        <v>34628</v>
      </c>
      <c r="D8" s="143">
        <f aca="true" t="shared" si="0" ref="D8:D31">ROUND(((B8/C8)-1)*100,2)</f>
        <v>-8.86</v>
      </c>
    </row>
    <row r="9" spans="1:4" ht="13.5" thickBot="1">
      <c r="A9" s="125" t="s">
        <v>348</v>
      </c>
      <c r="B9" s="127">
        <f>'E.S.P.'!C11</f>
        <v>8519.11</v>
      </c>
      <c r="C9" s="140">
        <f>'E.S.P.'!D11</f>
        <v>10053.210000000001</v>
      </c>
      <c r="D9" s="143">
        <f t="shared" si="0"/>
        <v>-15.26</v>
      </c>
    </row>
    <row r="10" spans="1:4" ht="13.5" thickBot="1">
      <c r="A10" s="125" t="s">
        <v>349</v>
      </c>
      <c r="B10" s="127">
        <f>'E.S.P.'!C12+'E.S.P.'!C13</f>
        <v>59462.54</v>
      </c>
      <c r="C10" s="140">
        <f>'E.S.P.'!D12+'E.S.P.'!D13</f>
        <v>63980</v>
      </c>
      <c r="D10" s="143">
        <f t="shared" si="0"/>
        <v>-7.06</v>
      </c>
    </row>
    <row r="11" spans="1:4" ht="13.5" thickBot="1">
      <c r="A11" s="125" t="s">
        <v>350</v>
      </c>
      <c r="B11" s="127">
        <f>'E.S.P.'!C12+'E.S.P.'!C21</f>
        <v>59462.54</v>
      </c>
      <c r="C11" s="140">
        <f>'E.S.P.'!D12+'E.S.P.'!D21</f>
        <v>63980</v>
      </c>
      <c r="D11" s="143">
        <f t="shared" si="0"/>
        <v>-7.06</v>
      </c>
    </row>
    <row r="12" spans="1:4" ht="13.5" thickBot="1">
      <c r="A12" s="125" t="s">
        <v>351</v>
      </c>
      <c r="B12" s="127">
        <f>'E.S.P.'!C14+'E.S.P.'!C23</f>
        <v>116750</v>
      </c>
      <c r="C12" s="140">
        <f>'E.S.P.'!D14+'E.S.P.'!D23</f>
        <v>115400</v>
      </c>
      <c r="D12" s="143">
        <f t="shared" si="0"/>
        <v>1.17</v>
      </c>
    </row>
    <row r="13" spans="1:4" ht="13.5" thickBot="1">
      <c r="A13" s="128" t="s">
        <v>352</v>
      </c>
      <c r="B13" s="127">
        <f>'E.S.P.'!C29</f>
        <v>48098.5</v>
      </c>
      <c r="C13" s="140">
        <f>'E.S.P.'!D29</f>
        <v>19840.66</v>
      </c>
      <c r="D13" s="143">
        <f t="shared" si="0"/>
        <v>142.42</v>
      </c>
    </row>
    <row r="14" spans="1:4" ht="13.5" thickBot="1">
      <c r="A14" s="125" t="s">
        <v>353</v>
      </c>
      <c r="B14" s="129">
        <f>'E.S.P.'!C21+'E.S.P.'!C22</f>
        <v>0</v>
      </c>
      <c r="C14" s="141">
        <f>'E.S.P.'!D21+'E.S.P.'!D22</f>
        <v>0</v>
      </c>
      <c r="D14" s="143" t="e">
        <f t="shared" si="0"/>
        <v>#DIV/0!</v>
      </c>
    </row>
    <row r="15" spans="1:4" ht="13.5" thickBot="1">
      <c r="A15" s="125" t="s">
        <v>354</v>
      </c>
      <c r="B15" s="127">
        <f>'E.S.P.'!C24</f>
        <v>39598.5</v>
      </c>
      <c r="C15" s="140">
        <f>'E.S.P.'!D24</f>
        <v>15614</v>
      </c>
      <c r="D15" s="143">
        <f t="shared" si="0"/>
        <v>153.61</v>
      </c>
    </row>
    <row r="16" spans="1:4" ht="13.5" thickBot="1">
      <c r="A16" s="125" t="s">
        <v>355</v>
      </c>
      <c r="B16" s="127">
        <f>'E.S.P.'!C30</f>
        <v>264390.15</v>
      </c>
      <c r="C16" s="140">
        <f>'E.S.P.'!D30</f>
        <v>243901.87</v>
      </c>
      <c r="D16" s="143">
        <f t="shared" si="0"/>
        <v>8.4</v>
      </c>
    </row>
    <row r="17" spans="1:4" ht="13.5" thickBot="1">
      <c r="A17" s="125" t="s">
        <v>356</v>
      </c>
      <c r="B17" s="127">
        <f>'E.S.P.'!G20</f>
        <v>44747.15</v>
      </c>
      <c r="C17" s="140">
        <f>'E.S.P.'!H20</f>
        <v>27901.87</v>
      </c>
      <c r="D17" s="143">
        <f t="shared" si="0"/>
        <v>60.37</v>
      </c>
    </row>
    <row r="18" spans="1:4" ht="13.5" thickBot="1">
      <c r="A18" s="128" t="s">
        <v>357</v>
      </c>
      <c r="B18" s="127">
        <f>'E.S.P.'!G18</f>
        <v>44747.15</v>
      </c>
      <c r="C18" s="140">
        <f>'E.S.P.'!H18</f>
        <v>27901.87</v>
      </c>
      <c r="D18" s="143">
        <f t="shared" si="0"/>
        <v>60.37</v>
      </c>
    </row>
    <row r="19" spans="1:4" ht="13.5" thickBot="1">
      <c r="A19" s="128" t="s">
        <v>358</v>
      </c>
      <c r="B19" s="127">
        <f>'E.S.P.'!G11</f>
        <v>30658.68</v>
      </c>
      <c r="C19" s="140">
        <f>'E.S.P.'!H11</f>
        <v>26301.87</v>
      </c>
      <c r="D19" s="143">
        <f t="shared" si="0"/>
        <v>16.56</v>
      </c>
    </row>
    <row r="20" spans="1:4" ht="13.5" thickBot="1">
      <c r="A20" s="125" t="s">
        <v>359</v>
      </c>
      <c r="B20" s="127">
        <f>'E.S.P.'!G26</f>
        <v>0</v>
      </c>
      <c r="C20" s="140">
        <f>'E.S.P.'!H26</f>
        <v>0</v>
      </c>
      <c r="D20" s="143" t="e">
        <f t="shared" si="0"/>
        <v>#DIV/0!</v>
      </c>
    </row>
    <row r="21" spans="1:4" ht="13.5" thickBot="1">
      <c r="A21" s="128" t="s">
        <v>360</v>
      </c>
      <c r="B21" s="127">
        <f>'E.S.P.'!G24</f>
        <v>0</v>
      </c>
      <c r="C21" s="140">
        <f>'E.S.P.'!H24</f>
        <v>0</v>
      </c>
      <c r="D21" s="143" t="e">
        <f t="shared" si="0"/>
        <v>#DIV/0!</v>
      </c>
    </row>
    <row r="22" spans="1:4" ht="13.5" thickBot="1">
      <c r="A22" s="128" t="s">
        <v>361</v>
      </c>
      <c r="B22" s="127">
        <f>'E.S.P.'!G23</f>
        <v>0</v>
      </c>
      <c r="C22" s="140">
        <f>'E.S.P.'!H23</f>
        <v>0</v>
      </c>
      <c r="D22" s="143" t="e">
        <f t="shared" si="0"/>
        <v>#DIV/0!</v>
      </c>
    </row>
    <row r="23" spans="1:4" ht="13.5" thickBot="1">
      <c r="A23" s="125" t="s">
        <v>362</v>
      </c>
      <c r="B23" s="127">
        <f>'[1]E.S.P.'!G23</f>
        <v>141224.71000000002</v>
      </c>
      <c r="C23" s="140">
        <f>'[1]E.S.P.'!H23</f>
        <v>122996.62</v>
      </c>
      <c r="D23" s="143">
        <f t="shared" si="0"/>
        <v>14.82</v>
      </c>
    </row>
    <row r="24" spans="1:4" ht="13.5" thickBot="1">
      <c r="A24" s="125" t="s">
        <v>363</v>
      </c>
      <c r="B24" s="127">
        <f>'E.S.P.'!G29</f>
        <v>219643.00000000003</v>
      </c>
      <c r="C24" s="140">
        <f>'E.S.P.'!H29</f>
        <v>216000</v>
      </c>
      <c r="D24" s="143">
        <f t="shared" si="0"/>
        <v>1.69</v>
      </c>
    </row>
    <row r="25" spans="1:4" ht="13.5" thickBot="1">
      <c r="A25" s="137" t="s">
        <v>364</v>
      </c>
      <c r="B25" s="138"/>
      <c r="C25" s="139"/>
      <c r="D25" s="144"/>
    </row>
    <row r="26" spans="1:4" ht="13.5" thickBot="1">
      <c r="A26" s="125" t="s">
        <v>365</v>
      </c>
      <c r="B26" s="127">
        <f>'E.RESUL'!C9</f>
        <v>517645</v>
      </c>
      <c r="C26" s="140">
        <f>'E.RESUL'!D9</f>
        <v>506800</v>
      </c>
      <c r="D26" s="143">
        <f t="shared" si="0"/>
        <v>2.14</v>
      </c>
    </row>
    <row r="27" spans="1:4" ht="13.5" thickBot="1">
      <c r="A27" s="125" t="s">
        <v>64</v>
      </c>
      <c r="B27" s="127">
        <f>'A.RTDOS'!C13</f>
        <v>421006.7</v>
      </c>
      <c r="C27" s="140">
        <f>'A.RTDOS'!D13</f>
        <v>412600</v>
      </c>
      <c r="D27" s="143">
        <f t="shared" si="0"/>
        <v>2.04</v>
      </c>
    </row>
    <row r="28" spans="1:4" ht="13.5" thickBot="1">
      <c r="A28" s="125" t="s">
        <v>366</v>
      </c>
      <c r="B28" s="127">
        <f>-'E.RESUL'!C10</f>
        <v>419656.69999999995</v>
      </c>
      <c r="C28" s="140">
        <f>-'E.RESUL'!D10</f>
        <v>408100</v>
      </c>
      <c r="D28" s="143">
        <f t="shared" si="0"/>
        <v>2.83</v>
      </c>
    </row>
    <row r="29" spans="1:4" ht="13.5" thickBot="1">
      <c r="A29" s="125" t="s">
        <v>367</v>
      </c>
      <c r="B29" s="127">
        <f>B26-B28</f>
        <v>97988.30000000005</v>
      </c>
      <c r="C29" s="140">
        <f>C26-C28</f>
        <v>98700</v>
      </c>
      <c r="D29" s="143">
        <f t="shared" si="0"/>
        <v>-0.72</v>
      </c>
    </row>
    <row r="30" spans="1:4" ht="13.5" thickBot="1">
      <c r="A30" s="128" t="s">
        <v>368</v>
      </c>
      <c r="B30" s="127">
        <f>'E.RESUL'!C19</f>
        <v>20933.000000000036</v>
      </c>
      <c r="C30" s="140">
        <f>'E.RESUL'!D19</f>
        <v>21761.83</v>
      </c>
      <c r="D30" s="143">
        <f t="shared" si="0"/>
        <v>-3.81</v>
      </c>
    </row>
    <row r="31" spans="1:4" ht="13.5" thickBot="1">
      <c r="A31" s="125" t="s">
        <v>369</v>
      </c>
      <c r="B31" s="127">
        <f>'E.RESUL'!C21</f>
        <v>17243.000000000036</v>
      </c>
      <c r="C31" s="140">
        <f>'E.RESUL'!D21</f>
        <v>18541.83</v>
      </c>
      <c r="D31" s="143">
        <f t="shared" si="0"/>
        <v>-7</v>
      </c>
    </row>
    <row r="32" spans="1:4" ht="13.5" thickBot="1">
      <c r="A32" s="125"/>
      <c r="B32" s="127"/>
      <c r="C32" s="140"/>
      <c r="D32" s="143"/>
    </row>
    <row r="33" ht="13.5" thickBot="1"/>
    <row r="34" spans="1:3" ht="21" thickBot="1">
      <c r="A34" s="130" t="s">
        <v>370</v>
      </c>
      <c r="B34" s="131"/>
      <c r="C34" s="132"/>
    </row>
    <row r="35" spans="1:3" ht="13.5" thickBot="1">
      <c r="A35" s="133"/>
      <c r="B35" s="126" t="s">
        <v>344</v>
      </c>
      <c r="C35" s="134" t="s">
        <v>345</v>
      </c>
    </row>
    <row r="36" spans="1:3" ht="18">
      <c r="A36" s="151" t="s">
        <v>371</v>
      </c>
      <c r="B36" s="152"/>
      <c r="C36" s="153"/>
    </row>
    <row r="37" spans="1:3" ht="15.75">
      <c r="A37" s="154"/>
      <c r="B37" s="152"/>
      <c r="C37" s="152"/>
    </row>
    <row r="38" spans="1:3" ht="15.75">
      <c r="A38" s="155" t="s">
        <v>372</v>
      </c>
      <c r="B38" s="152"/>
      <c r="C38" s="152"/>
    </row>
    <row r="39" spans="1:3" ht="15.75">
      <c r="A39" s="154"/>
      <c r="B39" s="152"/>
      <c r="C39" s="152"/>
    </row>
    <row r="40" spans="1:3" ht="15.75">
      <c r="A40" s="156" t="s">
        <v>373</v>
      </c>
      <c r="B40" s="152">
        <f>B7/B17</f>
        <v>4.833640801704689</v>
      </c>
      <c r="C40" s="152">
        <f>C7/C17</f>
        <v>8.030329508380621</v>
      </c>
    </row>
    <row r="41" spans="1:3" ht="15.75">
      <c r="A41" s="154"/>
      <c r="B41" s="152"/>
      <c r="C41" s="152"/>
    </row>
    <row r="42" spans="1:3" ht="15.75">
      <c r="A42" s="155" t="s">
        <v>374</v>
      </c>
      <c r="B42" s="152"/>
      <c r="C42" s="152"/>
    </row>
    <row r="43" spans="1:3" ht="15.75">
      <c r="A43" s="154"/>
      <c r="B43" s="152"/>
      <c r="C43" s="152"/>
    </row>
    <row r="44" spans="1:3" ht="15.75">
      <c r="A44" s="157" t="s">
        <v>375</v>
      </c>
      <c r="B44" s="152">
        <f>((B8+B9+B10)/B17)</f>
        <v>2.2245360877731875</v>
      </c>
      <c r="C44" s="152">
        <f>((C8+C9+C10)/C17)</f>
        <v>3.8944060021783486</v>
      </c>
    </row>
    <row r="45" spans="1:3" ht="15.75">
      <c r="A45" s="154"/>
      <c r="B45" s="152"/>
      <c r="C45" s="152"/>
    </row>
    <row r="46" spans="1:3" ht="15.75">
      <c r="A46" s="155" t="s">
        <v>376</v>
      </c>
      <c r="B46" s="152"/>
      <c r="C46" s="152"/>
    </row>
    <row r="47" spans="1:3" ht="15.75">
      <c r="A47" s="154"/>
      <c r="B47" s="152"/>
      <c r="C47" s="152"/>
    </row>
    <row r="48" spans="1:3" ht="15.75">
      <c r="A48" s="157" t="s">
        <v>377</v>
      </c>
      <c r="B48" s="152">
        <f>((B7+B14)/B23)</f>
        <v>1.5315425324647505</v>
      </c>
      <c r="C48" s="152">
        <f>((C7+C14)/C23)</f>
        <v>1.8216859129950076</v>
      </c>
    </row>
    <row r="49" spans="1:3" ht="15.75">
      <c r="A49" s="154"/>
      <c r="B49" s="152"/>
      <c r="C49" s="152"/>
    </row>
    <row r="50" spans="1:3" ht="15.75">
      <c r="A50" s="155" t="s">
        <v>378</v>
      </c>
      <c r="B50" s="152"/>
      <c r="C50" s="152"/>
    </row>
    <row r="51" spans="1:3" ht="15.75">
      <c r="A51" s="154"/>
      <c r="B51" s="152"/>
      <c r="C51" s="152"/>
    </row>
    <row r="52" spans="1:3" ht="15.75">
      <c r="A52" s="158" t="s">
        <v>379</v>
      </c>
      <c r="B52" s="152">
        <f>365/(B26/B11)</f>
        <v>41.928014565967025</v>
      </c>
      <c r="C52" s="152">
        <f>365/(C26/C11)</f>
        <v>46.078729281767956</v>
      </c>
    </row>
    <row r="53" spans="1:3" ht="15.75">
      <c r="A53" s="154"/>
      <c r="B53" s="152"/>
      <c r="C53" s="152"/>
    </row>
    <row r="54" spans="1:3" ht="15.75">
      <c r="A54" s="155" t="s">
        <v>380</v>
      </c>
      <c r="B54" s="152"/>
      <c r="C54" s="152"/>
    </row>
    <row r="55" spans="1:3" ht="15.75">
      <c r="A55" s="154"/>
      <c r="B55" s="152"/>
      <c r="C55" s="152"/>
    </row>
    <row r="56" spans="1:3" ht="15.75">
      <c r="A56" s="158" t="s">
        <v>381</v>
      </c>
      <c r="B56" s="152">
        <f>365/(B28/B12)</f>
        <v>101.54430990855145</v>
      </c>
      <c r="C56" s="152">
        <f>365/(C28/C12)</f>
        <v>103.21244792942906</v>
      </c>
    </row>
    <row r="57" spans="1:3" ht="15.75">
      <c r="A57" s="154"/>
      <c r="B57" s="152"/>
      <c r="C57" s="152"/>
    </row>
    <row r="58" spans="1:3" ht="15.75">
      <c r="A58" s="155" t="s">
        <v>382</v>
      </c>
      <c r="B58" s="152"/>
      <c r="C58" s="152"/>
    </row>
    <row r="59" spans="1:3" ht="15.75">
      <c r="A59" s="154"/>
      <c r="B59" s="152"/>
      <c r="C59" s="152"/>
    </row>
    <row r="60" spans="1:3" ht="15.75">
      <c r="A60" s="158" t="s">
        <v>383</v>
      </c>
      <c r="B60" s="152">
        <f>B52+B56</f>
        <v>143.47232447451847</v>
      </c>
      <c r="C60" s="152">
        <f>C52+C56</f>
        <v>149.291177211197</v>
      </c>
    </row>
    <row r="61" spans="1:3" ht="15.75">
      <c r="A61" s="154"/>
      <c r="B61" s="152"/>
      <c r="C61" s="152"/>
    </row>
    <row r="62" spans="1:3" ht="15.75">
      <c r="A62" s="155" t="s">
        <v>384</v>
      </c>
      <c r="B62" s="152"/>
      <c r="C62" s="152"/>
    </row>
    <row r="63" spans="1:3" ht="15.75">
      <c r="A63" s="154"/>
      <c r="B63" s="152"/>
      <c r="C63" s="152"/>
    </row>
    <row r="64" spans="1:3" ht="15.75">
      <c r="A64" s="158" t="s">
        <v>385</v>
      </c>
      <c r="B64" s="152">
        <f>365/(B27/B19)</f>
        <v>26.580142786326203</v>
      </c>
      <c r="C64" s="152">
        <f>365/(C27/C19)</f>
        <v>23.267529205041203</v>
      </c>
    </row>
    <row r="65" spans="1:3" ht="16.5" thickBot="1">
      <c r="A65" s="159"/>
      <c r="B65" s="160"/>
      <c r="C65" s="160"/>
    </row>
    <row r="66" spans="1:3" ht="15.75">
      <c r="A66" s="136"/>
      <c r="B66" s="135"/>
      <c r="C66" s="135"/>
    </row>
    <row r="67" spans="1:3" ht="18">
      <c r="A67" s="161" t="s">
        <v>386</v>
      </c>
      <c r="B67" s="162"/>
      <c r="C67" s="162"/>
    </row>
    <row r="68" spans="1:3" ht="15.75">
      <c r="A68" s="163"/>
      <c r="B68" s="162"/>
      <c r="C68" s="162"/>
    </row>
    <row r="69" spans="1:3" ht="15.75">
      <c r="A69" s="164" t="s">
        <v>387</v>
      </c>
      <c r="B69" s="162"/>
      <c r="C69" s="162"/>
    </row>
    <row r="70" spans="1:3" ht="15.75">
      <c r="A70" s="163"/>
      <c r="B70" s="162"/>
      <c r="C70" s="162"/>
    </row>
    <row r="71" spans="1:3" ht="15.75">
      <c r="A71" s="165" t="s">
        <v>388</v>
      </c>
      <c r="B71" s="162">
        <f>B23/B24</f>
        <v>0.6429738712365065</v>
      </c>
      <c r="C71" s="162">
        <f>C23/C24</f>
        <v>0.5694287962962963</v>
      </c>
    </row>
    <row r="72" spans="1:3" ht="15.75">
      <c r="A72" s="163"/>
      <c r="B72" s="162"/>
      <c r="C72" s="162"/>
    </row>
    <row r="73" spans="1:3" ht="15.75">
      <c r="A73" s="164" t="s">
        <v>389</v>
      </c>
      <c r="B73" s="162"/>
      <c r="C73" s="162"/>
    </row>
    <row r="74" spans="1:3" ht="15.75">
      <c r="A74" s="163"/>
      <c r="B74" s="162"/>
      <c r="C74" s="162"/>
    </row>
    <row r="75" spans="1:3" ht="15.75">
      <c r="A75" s="165" t="s">
        <v>390</v>
      </c>
      <c r="B75" s="162">
        <f>B24/B13</f>
        <v>4.566524943605311</v>
      </c>
      <c r="C75" s="162">
        <f>C24/C13</f>
        <v>10.886734614675117</v>
      </c>
    </row>
    <row r="76" spans="1:3" ht="15.75">
      <c r="A76" s="166"/>
      <c r="B76" s="162"/>
      <c r="C76" s="162"/>
    </row>
    <row r="77" spans="1:3" ht="15.75">
      <c r="A77" s="164" t="s">
        <v>391</v>
      </c>
      <c r="B77" s="162"/>
      <c r="C77" s="162"/>
    </row>
    <row r="78" spans="1:3" ht="15.75">
      <c r="A78" s="166"/>
      <c r="B78" s="162"/>
      <c r="C78" s="162"/>
    </row>
    <row r="79" spans="1:3" ht="15.75">
      <c r="A79" s="165" t="s">
        <v>392</v>
      </c>
      <c r="B79" s="162">
        <f>(B24+B20)/B15</f>
        <v>5.546750508226323</v>
      </c>
      <c r="C79" s="162">
        <f>(C24+C20)/C15</f>
        <v>13.833738952222365</v>
      </c>
    </row>
    <row r="80" spans="1:3" ht="15.75">
      <c r="A80" s="163"/>
      <c r="B80" s="162"/>
      <c r="C80" s="162"/>
    </row>
    <row r="81" spans="1:3" ht="15.75">
      <c r="A81" s="164" t="s">
        <v>393</v>
      </c>
      <c r="B81" s="162"/>
      <c r="C81" s="162"/>
    </row>
    <row r="82" spans="1:3" ht="15.75">
      <c r="A82" s="163"/>
      <c r="B82" s="162"/>
      <c r="C82" s="162"/>
    </row>
    <row r="83" spans="1:3" ht="15.75">
      <c r="A83" s="167" t="s">
        <v>394</v>
      </c>
      <c r="B83" s="162">
        <f>B13/B16</f>
        <v>0.1819224354613816</v>
      </c>
      <c r="C83" s="162">
        <f>C13/C16</f>
        <v>0.08134689578230786</v>
      </c>
    </row>
    <row r="84" spans="1:3" ht="15.75">
      <c r="A84" s="163"/>
      <c r="B84" s="162"/>
      <c r="C84" s="162"/>
    </row>
    <row r="85" spans="1:3" ht="15.75">
      <c r="A85" s="164" t="s">
        <v>395</v>
      </c>
      <c r="B85" s="162"/>
      <c r="C85" s="162"/>
    </row>
    <row r="86" spans="1:3" ht="15.75">
      <c r="A86" s="163"/>
      <c r="B86" s="162"/>
      <c r="C86" s="162"/>
    </row>
    <row r="87" spans="1:3" ht="15.75">
      <c r="A87" s="167" t="s">
        <v>396</v>
      </c>
      <c r="B87" s="162">
        <f>B24/B23</f>
        <v>1.5552731529772659</v>
      </c>
      <c r="C87" s="162">
        <f>C24/C23</f>
        <v>1.7561458192916197</v>
      </c>
    </row>
    <row r="88" spans="1:3" ht="15.75">
      <c r="A88" s="167"/>
      <c r="B88" s="162"/>
      <c r="C88" s="162"/>
    </row>
    <row r="89" spans="1:3" ht="31.5">
      <c r="A89" s="168" t="s">
        <v>397</v>
      </c>
      <c r="B89" s="162"/>
      <c r="C89" s="162"/>
    </row>
    <row r="90" spans="1:3" ht="15.75">
      <c r="A90" s="167"/>
      <c r="B90" s="162"/>
      <c r="C90" s="162"/>
    </row>
    <row r="91" spans="1:3" ht="15.75">
      <c r="A91" s="169" t="s">
        <v>398</v>
      </c>
      <c r="B91" s="162">
        <f>B15/B16</f>
        <v>0.14977297754852062</v>
      </c>
      <c r="C91" s="162">
        <f>C15/C16</f>
        <v>0.06401754935294264</v>
      </c>
    </row>
    <row r="92" spans="1:3" ht="15.75">
      <c r="A92" s="167"/>
      <c r="B92" s="162"/>
      <c r="C92" s="162"/>
    </row>
    <row r="93" spans="1:3" ht="16.5" thickBot="1">
      <c r="A93" s="170"/>
      <c r="B93" s="171"/>
      <c r="C93" s="171"/>
    </row>
    <row r="94" spans="1:3" ht="16.5" thickBot="1">
      <c r="A94" s="172"/>
      <c r="B94" s="173"/>
      <c r="C94" s="173"/>
    </row>
    <row r="95" spans="1:3" ht="18">
      <c r="A95" s="151" t="s">
        <v>399</v>
      </c>
      <c r="B95" s="153"/>
      <c r="C95" s="153"/>
    </row>
    <row r="96" spans="1:3" ht="15.75">
      <c r="A96" s="154"/>
      <c r="B96" s="152"/>
      <c r="C96" s="152"/>
    </row>
    <row r="97" spans="1:3" ht="15.75">
      <c r="A97" s="174" t="s">
        <v>400</v>
      </c>
      <c r="B97" s="152"/>
      <c r="C97" s="152"/>
    </row>
    <row r="98" spans="1:3" ht="15.75">
      <c r="A98" s="154"/>
      <c r="B98" s="152"/>
      <c r="C98" s="152"/>
    </row>
    <row r="99" spans="1:3" ht="15.75">
      <c r="A99" s="157" t="s">
        <v>401</v>
      </c>
      <c r="B99" s="152">
        <f>B29/B26</f>
        <v>0.18929633242859498</v>
      </c>
      <c r="C99" s="152">
        <f>C29/C26</f>
        <v>0.19475138121546962</v>
      </c>
    </row>
    <row r="100" spans="1:3" ht="15.75">
      <c r="A100" s="154"/>
      <c r="B100" s="152"/>
      <c r="C100" s="152"/>
    </row>
    <row r="101" spans="1:3" ht="15.75">
      <c r="A101" s="174" t="s">
        <v>402</v>
      </c>
      <c r="B101" s="152"/>
      <c r="C101" s="152"/>
    </row>
    <row r="102" spans="1:3" ht="15.75">
      <c r="A102" s="154"/>
      <c r="B102" s="152"/>
      <c r="C102" s="152"/>
    </row>
    <row r="103" spans="1:3" ht="15.75">
      <c r="A103" s="157" t="s">
        <v>403</v>
      </c>
      <c r="B103" s="152">
        <f>B28/B26</f>
        <v>0.810703667571405</v>
      </c>
      <c r="C103" s="152">
        <f>C28/C26</f>
        <v>0.8052486187845304</v>
      </c>
    </row>
    <row r="104" spans="1:3" ht="15.75">
      <c r="A104" s="154"/>
      <c r="B104" s="152"/>
      <c r="C104" s="152"/>
    </row>
    <row r="105" spans="1:3" ht="15.75">
      <c r="A105" s="174" t="s">
        <v>404</v>
      </c>
      <c r="B105" s="152"/>
      <c r="C105" s="152"/>
    </row>
    <row r="106" spans="1:3" ht="15.75">
      <c r="A106" s="154"/>
      <c r="B106" s="152"/>
      <c r="C106" s="152"/>
    </row>
    <row r="107" spans="1:3" ht="15.75">
      <c r="A107" s="158" t="s">
        <v>405</v>
      </c>
      <c r="B107" s="152">
        <f>(B26/B28)-1</f>
        <v>0.2334963316444132</v>
      </c>
      <c r="C107" s="152">
        <f>(C26/C28)-1</f>
        <v>0.2418524871355061</v>
      </c>
    </row>
    <row r="108" spans="1:3" ht="15.75">
      <c r="A108" s="154"/>
      <c r="B108" s="152"/>
      <c r="C108" s="152"/>
    </row>
    <row r="109" spans="1:3" ht="15.75">
      <c r="A109" s="155" t="s">
        <v>406</v>
      </c>
      <c r="B109" s="152"/>
      <c r="C109" s="152"/>
    </row>
    <row r="110" spans="1:3" ht="15.75">
      <c r="A110" s="154"/>
      <c r="B110" s="152"/>
      <c r="C110" s="152"/>
    </row>
    <row r="111" spans="1:3" ht="15.75">
      <c r="A111" s="157" t="s">
        <v>407</v>
      </c>
      <c r="B111" s="152">
        <f>B30/B16</f>
        <v>0.07917465911646117</v>
      </c>
      <c r="C111" s="152">
        <f>C30/C16</f>
        <v>0.08922371115891814</v>
      </c>
    </row>
    <row r="112" spans="1:3" ht="15.75">
      <c r="A112" s="154"/>
      <c r="B112" s="152"/>
      <c r="C112" s="152"/>
    </row>
    <row r="113" spans="1:3" ht="15.75">
      <c r="A113" s="155" t="s">
        <v>408</v>
      </c>
      <c r="B113" s="152"/>
      <c r="C113" s="152"/>
    </row>
    <row r="114" spans="1:3" ht="15.75">
      <c r="A114" s="154"/>
      <c r="B114" s="152"/>
      <c r="C114" s="152"/>
    </row>
    <row r="115" spans="1:3" ht="15.75">
      <c r="A115" s="157" t="s">
        <v>409</v>
      </c>
      <c r="B115" s="152">
        <f>B31/B24</f>
        <v>0.07850466438721031</v>
      </c>
      <c r="C115" s="152">
        <f>C31/C24</f>
        <v>0.08584180555555557</v>
      </c>
    </row>
    <row r="116" spans="1:3" ht="15.75">
      <c r="A116" s="154"/>
      <c r="B116" s="152"/>
      <c r="C116" s="152"/>
    </row>
    <row r="117" spans="1:3" ht="15.75">
      <c r="A117" s="155" t="s">
        <v>410</v>
      </c>
      <c r="B117" s="152"/>
      <c r="C117" s="152"/>
    </row>
    <row r="118" spans="1:3" ht="15.75">
      <c r="A118" s="154"/>
      <c r="B118" s="152"/>
      <c r="C118" s="152"/>
    </row>
    <row r="119" spans="1:3" ht="15.75">
      <c r="A119" s="157" t="s">
        <v>411</v>
      </c>
      <c r="B119" s="152">
        <f>B26/B24</f>
        <v>2.3567561907276806</v>
      </c>
      <c r="C119" s="152">
        <f>C26/C24</f>
        <v>2.346296296296296</v>
      </c>
    </row>
    <row r="120" spans="1:3" ht="13.5" thickBot="1">
      <c r="A120" s="159"/>
      <c r="B120" s="175"/>
      <c r="C120" s="175"/>
    </row>
  </sheetData>
  <mergeCells count="2">
    <mergeCell ref="B2:D4"/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="85" zoomScaleNormal="85" workbookViewId="0" topLeftCell="A101">
      <selection activeCell="A101" sqref="A101"/>
    </sheetView>
  </sheetViews>
  <sheetFormatPr defaultColWidth="11.421875" defaultRowHeight="12.75"/>
  <cols>
    <col min="1" max="1" width="4.140625" style="447" customWidth="1"/>
    <col min="2" max="2" width="46.7109375" style="331" customWidth="1"/>
    <col min="3" max="3" width="15.00390625" style="277" customWidth="1"/>
    <col min="4" max="4" width="13.140625" style="277" customWidth="1"/>
    <col min="5" max="7" width="12.8515625" style="277" bestFit="1" customWidth="1"/>
    <col min="8" max="8" width="13.28125" style="277" bestFit="1" customWidth="1"/>
    <col min="9" max="9" width="16.57421875" style="450" bestFit="1" customWidth="1"/>
    <col min="10" max="11" width="11.28125" style="180" bestFit="1" customWidth="1"/>
    <col min="12" max="12" width="22.140625" style="180" bestFit="1" customWidth="1"/>
    <col min="13" max="13" width="19.00390625" style="180" bestFit="1" customWidth="1"/>
    <col min="14" max="14" width="12.421875" style="180" bestFit="1" customWidth="1"/>
    <col min="15" max="16384" width="11.421875" style="180" customWidth="1"/>
  </cols>
  <sheetData>
    <row r="1" spans="2:8" ht="21.75" customHeight="1">
      <c r="B1" s="518" t="s">
        <v>463</v>
      </c>
      <c r="C1" s="518"/>
      <c r="D1" s="518"/>
      <c r="E1" s="518"/>
      <c r="F1" s="518"/>
      <c r="G1" s="518"/>
      <c r="H1" s="518"/>
    </row>
    <row r="2" spans="2:9" ht="21.75" customHeight="1">
      <c r="B2" s="519" t="s">
        <v>226</v>
      </c>
      <c r="C2" s="521" t="s">
        <v>305</v>
      </c>
      <c r="D2" s="521"/>
      <c r="E2" s="522" t="s">
        <v>306</v>
      </c>
      <c r="F2" s="521"/>
      <c r="G2" s="523" t="s">
        <v>307</v>
      </c>
      <c r="H2" s="523"/>
      <c r="I2" s="458"/>
    </row>
    <row r="3" spans="2:9" ht="21.75" customHeight="1">
      <c r="B3" s="520"/>
      <c r="C3" s="457" t="s">
        <v>227</v>
      </c>
      <c r="D3" s="457" t="s">
        <v>228</v>
      </c>
      <c r="E3" s="457" t="s">
        <v>227</v>
      </c>
      <c r="F3" s="457" t="s">
        <v>228</v>
      </c>
      <c r="G3" s="470" t="s">
        <v>227</v>
      </c>
      <c r="H3" s="470" t="s">
        <v>228</v>
      </c>
      <c r="I3" s="458"/>
    </row>
    <row r="4" spans="1:10" ht="21.75" customHeight="1">
      <c r="A4" s="447">
        <v>1</v>
      </c>
      <c r="B4" s="460" t="s">
        <v>232</v>
      </c>
      <c r="C4" s="446">
        <v>12705</v>
      </c>
      <c r="D4" s="446"/>
      <c r="E4" s="446">
        <f>790+224</f>
        <v>1014</v>
      </c>
      <c r="F4" s="446">
        <f>1100+4</f>
        <v>1104</v>
      </c>
      <c r="G4" s="483">
        <f aca="true" t="shared" si="0" ref="G4:G67">IF((C4-D4+E4-F4)&gt;=0,C4-D4+E4-F4,0)</f>
        <v>12615</v>
      </c>
      <c r="H4" s="483">
        <f aca="true" t="shared" si="1" ref="H4:H67">IF(C4-D4+E4-F4&lt;0,-(C4-D4+E4-F4),0)</f>
        <v>0</v>
      </c>
      <c r="I4" s="451"/>
      <c r="J4" s="180" t="s">
        <v>426</v>
      </c>
    </row>
    <row r="5" spans="1:10" ht="21.75" customHeight="1">
      <c r="A5" s="447">
        <v>1</v>
      </c>
      <c r="B5" s="460" t="s">
        <v>239</v>
      </c>
      <c r="C5" s="446">
        <v>5800</v>
      </c>
      <c r="D5" s="446"/>
      <c r="E5" s="446">
        <v>200</v>
      </c>
      <c r="F5" s="446"/>
      <c r="G5" s="483">
        <f t="shared" si="0"/>
        <v>6000</v>
      </c>
      <c r="H5" s="483">
        <f t="shared" si="1"/>
        <v>0</v>
      </c>
      <c r="I5" s="451"/>
      <c r="J5" s="180" t="s">
        <v>426</v>
      </c>
    </row>
    <row r="6" spans="1:10" ht="21.75" customHeight="1">
      <c r="A6" s="447">
        <v>1</v>
      </c>
      <c r="B6" s="460" t="s">
        <v>238</v>
      </c>
      <c r="C6" s="446">
        <v>500</v>
      </c>
      <c r="D6" s="446"/>
      <c r="E6" s="446"/>
      <c r="F6" s="446">
        <v>500</v>
      </c>
      <c r="G6" s="483">
        <f t="shared" si="0"/>
        <v>0</v>
      </c>
      <c r="H6" s="483">
        <f t="shared" si="1"/>
        <v>0</v>
      </c>
      <c r="I6" s="451"/>
      <c r="J6" s="180" t="s">
        <v>426</v>
      </c>
    </row>
    <row r="7" spans="1:10" ht="21.75" customHeight="1">
      <c r="A7" s="447">
        <v>1</v>
      </c>
      <c r="B7" s="460" t="s">
        <v>308</v>
      </c>
      <c r="C7" s="446">
        <v>1705</v>
      </c>
      <c r="D7" s="446"/>
      <c r="E7" s="446">
        <f>7580+3700</f>
        <v>11280</v>
      </c>
      <c r="F7" s="446">
        <v>40</v>
      </c>
      <c r="G7" s="483">
        <f t="shared" si="0"/>
        <v>12945</v>
      </c>
      <c r="H7" s="483">
        <f t="shared" si="1"/>
        <v>0</v>
      </c>
      <c r="I7" s="452">
        <f>SUM(G4:G7)</f>
        <v>31560</v>
      </c>
      <c r="J7" s="180" t="s">
        <v>426</v>
      </c>
    </row>
    <row r="8" spans="1:10" ht="21.75" customHeight="1">
      <c r="A8" s="447">
        <v>2</v>
      </c>
      <c r="B8" s="460" t="s">
        <v>309</v>
      </c>
      <c r="C8" s="446">
        <v>9000</v>
      </c>
      <c r="D8" s="446"/>
      <c r="E8" s="446"/>
      <c r="F8" s="446">
        <v>500</v>
      </c>
      <c r="G8" s="483">
        <f t="shared" si="0"/>
        <v>8500</v>
      </c>
      <c r="H8" s="483">
        <f t="shared" si="1"/>
        <v>0</v>
      </c>
      <c r="I8" s="451">
        <f>G8</f>
        <v>8500</v>
      </c>
      <c r="J8" s="180" t="s">
        <v>424</v>
      </c>
    </row>
    <row r="9" spans="1:10" ht="21.75" customHeight="1">
      <c r="A9" s="447">
        <v>2</v>
      </c>
      <c r="B9" s="460" t="s">
        <v>310</v>
      </c>
      <c r="C9" s="446">
        <v>8083.13</v>
      </c>
      <c r="D9" s="446"/>
      <c r="E9" s="446"/>
      <c r="F9" s="446"/>
      <c r="G9" s="483">
        <f t="shared" si="0"/>
        <v>8083.13</v>
      </c>
      <c r="H9" s="483">
        <f t="shared" si="1"/>
        <v>0</v>
      </c>
      <c r="I9" s="451"/>
      <c r="J9" s="180" t="s">
        <v>425</v>
      </c>
    </row>
    <row r="10" spans="1:10" ht="21.75" customHeight="1">
      <c r="A10" s="447">
        <v>2</v>
      </c>
      <c r="B10" s="460" t="s">
        <v>270</v>
      </c>
      <c r="C10" s="446"/>
      <c r="D10" s="446">
        <v>319.53</v>
      </c>
      <c r="E10" s="446">
        <v>255.51</v>
      </c>
      <c r="F10" s="446"/>
      <c r="G10" s="483">
        <f t="shared" si="0"/>
        <v>0</v>
      </c>
      <c r="H10" s="483">
        <f t="shared" si="1"/>
        <v>64.01999999999998</v>
      </c>
      <c r="I10" s="451"/>
      <c r="J10" s="180" t="s">
        <v>425</v>
      </c>
    </row>
    <row r="11" spans="1:10" ht="21.75" customHeight="1">
      <c r="A11" s="447">
        <v>2</v>
      </c>
      <c r="B11" s="460" t="s">
        <v>311</v>
      </c>
      <c r="C11" s="446">
        <v>500</v>
      </c>
      <c r="D11" s="446"/>
      <c r="E11" s="446"/>
      <c r="F11" s="446"/>
      <c r="G11" s="483">
        <f t="shared" si="0"/>
        <v>500</v>
      </c>
      <c r="H11" s="483">
        <f t="shared" si="1"/>
        <v>0</v>
      </c>
      <c r="I11" s="452">
        <f>G9-H10+G11</f>
        <v>8519.11</v>
      </c>
      <c r="J11" s="180" t="s">
        <v>425</v>
      </c>
    </row>
    <row r="12" spans="1:10" ht="21.75" customHeight="1">
      <c r="A12" s="447">
        <v>3</v>
      </c>
      <c r="B12" s="460" t="s">
        <v>251</v>
      </c>
      <c r="C12" s="446">
        <v>33590</v>
      </c>
      <c r="D12" s="446"/>
      <c r="E12" s="446"/>
      <c r="F12" s="446">
        <v>1190</v>
      </c>
      <c r="G12" s="483">
        <f t="shared" si="0"/>
        <v>32400</v>
      </c>
      <c r="H12" s="483">
        <f t="shared" si="1"/>
        <v>0</v>
      </c>
      <c r="I12" s="451"/>
      <c r="J12" s="180" t="s">
        <v>427</v>
      </c>
    </row>
    <row r="13" spans="1:10" ht="21.75" customHeight="1">
      <c r="A13" s="447">
        <v>3</v>
      </c>
      <c r="B13" s="460" t="s">
        <v>312</v>
      </c>
      <c r="C13" s="446"/>
      <c r="D13" s="446">
        <v>12700</v>
      </c>
      <c r="E13" s="446">
        <v>12247.62</v>
      </c>
      <c r="F13" s="446"/>
      <c r="G13" s="483">
        <f t="shared" si="0"/>
        <v>0</v>
      </c>
      <c r="H13" s="483">
        <f t="shared" si="1"/>
        <v>452.3799999999992</v>
      </c>
      <c r="I13" s="451"/>
      <c r="J13" s="180" t="s">
        <v>427</v>
      </c>
    </row>
    <row r="14" spans="1:10" ht="21.75" customHeight="1">
      <c r="A14" s="447">
        <v>3</v>
      </c>
      <c r="B14" s="460" t="s">
        <v>313</v>
      </c>
      <c r="C14" s="446">
        <v>17500</v>
      </c>
      <c r="D14" s="446"/>
      <c r="E14" s="446">
        <v>1100</v>
      </c>
      <c r="F14" s="446"/>
      <c r="G14" s="483">
        <f t="shared" si="0"/>
        <v>18600</v>
      </c>
      <c r="H14" s="483">
        <f t="shared" si="1"/>
        <v>0</v>
      </c>
      <c r="I14" s="451"/>
      <c r="J14" s="180" t="s">
        <v>427</v>
      </c>
    </row>
    <row r="15" spans="1:10" ht="21.75" customHeight="1">
      <c r="A15" s="447">
        <v>3</v>
      </c>
      <c r="B15" s="460" t="s">
        <v>314</v>
      </c>
      <c r="C15" s="446"/>
      <c r="D15" s="446">
        <v>6085</v>
      </c>
      <c r="E15" s="446">
        <v>5689.5</v>
      </c>
      <c r="F15" s="446"/>
      <c r="G15" s="483">
        <f t="shared" si="0"/>
        <v>0</v>
      </c>
      <c r="H15" s="483">
        <f t="shared" si="1"/>
        <v>395.5</v>
      </c>
      <c r="I15" s="451"/>
      <c r="J15" s="180" t="s">
        <v>427</v>
      </c>
    </row>
    <row r="16" spans="1:10" ht="21.75" customHeight="1">
      <c r="A16" s="447">
        <v>3</v>
      </c>
      <c r="B16" s="460" t="s">
        <v>258</v>
      </c>
      <c r="C16" s="446">
        <v>7000</v>
      </c>
      <c r="D16" s="446"/>
      <c r="E16" s="446">
        <v>3000</v>
      </c>
      <c r="F16" s="446"/>
      <c r="G16" s="483">
        <f t="shared" si="0"/>
        <v>10000</v>
      </c>
      <c r="H16" s="483">
        <f t="shared" si="1"/>
        <v>0</v>
      </c>
      <c r="I16" s="451"/>
      <c r="J16" s="180" t="s">
        <v>427</v>
      </c>
    </row>
    <row r="17" spans="1:10" ht="21.75" customHeight="1">
      <c r="A17" s="447">
        <v>3</v>
      </c>
      <c r="B17" s="460" t="s">
        <v>315</v>
      </c>
      <c r="C17" s="446"/>
      <c r="D17" s="446">
        <v>1000</v>
      </c>
      <c r="E17" s="446">
        <v>386.07</v>
      </c>
      <c r="F17" s="446">
        <v>75.65</v>
      </c>
      <c r="G17" s="483">
        <f t="shared" si="0"/>
        <v>0</v>
      </c>
      <c r="H17" s="483">
        <f t="shared" si="1"/>
        <v>689.58</v>
      </c>
      <c r="I17" s="452">
        <f>G12-H13+G14-H15+G16-H17</f>
        <v>59462.54</v>
      </c>
      <c r="J17" s="180" t="s">
        <v>427</v>
      </c>
    </row>
    <row r="18" spans="1:10" ht="21.75" customHeight="1">
      <c r="A18" s="447">
        <v>5</v>
      </c>
      <c r="B18" s="460" t="s">
        <v>264</v>
      </c>
      <c r="C18" s="446">
        <v>116750</v>
      </c>
      <c r="D18" s="446"/>
      <c r="E18" s="446">
        <f>2885+2115</f>
        <v>5000</v>
      </c>
      <c r="F18" s="446">
        <v>5000</v>
      </c>
      <c r="G18" s="483">
        <f t="shared" si="0"/>
        <v>116750</v>
      </c>
      <c r="H18" s="483">
        <f t="shared" si="1"/>
        <v>0</v>
      </c>
      <c r="I18" s="452">
        <f>+G18</f>
        <v>116750</v>
      </c>
      <c r="J18" s="180" t="s">
        <v>432</v>
      </c>
    </row>
    <row r="19" spans="1:10" ht="21.75" customHeight="1">
      <c r="A19" s="447">
        <v>5</v>
      </c>
      <c r="B19" s="460" t="s">
        <v>274</v>
      </c>
      <c r="C19" s="446">
        <v>2825</v>
      </c>
      <c r="D19" s="446"/>
      <c r="E19" s="446">
        <v>2825</v>
      </c>
      <c r="F19" s="446"/>
      <c r="G19" s="483">
        <f t="shared" si="0"/>
        <v>5650</v>
      </c>
      <c r="H19" s="483">
        <f t="shared" si="1"/>
        <v>0</v>
      </c>
      <c r="I19" s="451"/>
      <c r="J19" s="180" t="s">
        <v>433</v>
      </c>
    </row>
    <row r="20" spans="1:10" ht="21.75" customHeight="1">
      <c r="A20" s="447">
        <v>5</v>
      </c>
      <c r="B20" s="460" t="s">
        <v>278</v>
      </c>
      <c r="C20" s="446"/>
      <c r="D20" s="446">
        <v>1342</v>
      </c>
      <c r="E20" s="446"/>
      <c r="F20" s="446">
        <f>1342+269+506</f>
        <v>2117</v>
      </c>
      <c r="G20" s="483">
        <f t="shared" si="0"/>
        <v>0</v>
      </c>
      <c r="H20" s="483">
        <f t="shared" si="1"/>
        <v>3459</v>
      </c>
      <c r="I20" s="451"/>
      <c r="J20" s="180" t="s">
        <v>433</v>
      </c>
    </row>
    <row r="21" spans="1:10" ht="21.75" customHeight="1">
      <c r="A21" s="447">
        <v>5</v>
      </c>
      <c r="B21" s="460" t="s">
        <v>276</v>
      </c>
      <c r="C21" s="446">
        <v>405</v>
      </c>
      <c r="D21" s="446"/>
      <c r="E21" s="446">
        <v>405</v>
      </c>
      <c r="F21" s="446"/>
      <c r="G21" s="483">
        <f t="shared" si="0"/>
        <v>810</v>
      </c>
      <c r="H21" s="483">
        <f t="shared" si="1"/>
        <v>0</v>
      </c>
      <c r="I21" s="451"/>
      <c r="J21" s="180" t="s">
        <v>433</v>
      </c>
    </row>
    <row r="22" spans="1:10" ht="21.75" customHeight="1">
      <c r="A22" s="447">
        <v>5</v>
      </c>
      <c r="B22" s="460" t="s">
        <v>279</v>
      </c>
      <c r="C22" s="446"/>
      <c r="D22" s="446">
        <v>81</v>
      </c>
      <c r="E22" s="446"/>
      <c r="F22" s="446">
        <f>81+13.5+27</f>
        <v>121.5</v>
      </c>
      <c r="G22" s="483">
        <f t="shared" si="0"/>
        <v>0</v>
      </c>
      <c r="H22" s="483">
        <f t="shared" si="1"/>
        <v>202.5</v>
      </c>
      <c r="I22" s="451"/>
      <c r="J22" s="180" t="s">
        <v>433</v>
      </c>
    </row>
    <row r="23" spans="1:10" ht="21.75" customHeight="1">
      <c r="A23" s="447">
        <v>5</v>
      </c>
      <c r="B23" s="460" t="s">
        <v>277</v>
      </c>
      <c r="C23" s="446">
        <v>70000</v>
      </c>
      <c r="D23" s="446"/>
      <c r="E23" s="446">
        <f>6000+30000</f>
        <v>36000</v>
      </c>
      <c r="F23" s="446">
        <v>60000</v>
      </c>
      <c r="G23" s="483">
        <f t="shared" si="0"/>
        <v>46000</v>
      </c>
      <c r="H23" s="483">
        <f t="shared" si="1"/>
        <v>0</v>
      </c>
      <c r="I23" s="451"/>
      <c r="J23" s="180" t="s">
        <v>433</v>
      </c>
    </row>
    <row r="24" spans="1:10" ht="21.75" customHeight="1">
      <c r="A24" s="447">
        <v>5</v>
      </c>
      <c r="B24" s="460" t="s">
        <v>280</v>
      </c>
      <c r="C24" s="446"/>
      <c r="D24" s="446">
        <v>24000</v>
      </c>
      <c r="E24" s="446">
        <v>48000</v>
      </c>
      <c r="F24" s="446">
        <f>8000+1200+24000</f>
        <v>33200</v>
      </c>
      <c r="G24" s="483">
        <f t="shared" si="0"/>
        <v>0</v>
      </c>
      <c r="H24" s="483">
        <f t="shared" si="1"/>
        <v>9200</v>
      </c>
      <c r="I24" s="451"/>
      <c r="J24" s="180" t="s">
        <v>433</v>
      </c>
    </row>
    <row r="25" spans="1:10" ht="21.75" customHeight="1">
      <c r="A25" s="447">
        <v>6</v>
      </c>
      <c r="B25" s="460" t="s">
        <v>220</v>
      </c>
      <c r="C25" s="446">
        <v>4500</v>
      </c>
      <c r="D25" s="446"/>
      <c r="E25" s="446">
        <v>4500</v>
      </c>
      <c r="F25" s="446"/>
      <c r="G25" s="483">
        <f t="shared" si="0"/>
        <v>9000</v>
      </c>
      <c r="H25" s="483">
        <f t="shared" si="1"/>
        <v>0</v>
      </c>
      <c r="I25" s="451"/>
      <c r="J25" s="180" t="s">
        <v>434</v>
      </c>
    </row>
    <row r="26" spans="1:10" ht="21.75" customHeight="1">
      <c r="A26" s="447">
        <v>6</v>
      </c>
      <c r="B26" s="460" t="s">
        <v>289</v>
      </c>
      <c r="C26" s="446"/>
      <c r="D26" s="446">
        <v>3600</v>
      </c>
      <c r="E26" s="446"/>
      <c r="F26" s="446">
        <f>3600+600+1200</f>
        <v>5400</v>
      </c>
      <c r="G26" s="483">
        <f t="shared" si="0"/>
        <v>0</v>
      </c>
      <c r="H26" s="483">
        <f t="shared" si="1"/>
        <v>9000</v>
      </c>
      <c r="I26" s="451">
        <f>SUM(G19:G28)</f>
        <v>68740</v>
      </c>
      <c r="J26" s="180" t="s">
        <v>434</v>
      </c>
    </row>
    <row r="27" spans="1:10" ht="21.75" customHeight="1">
      <c r="A27" s="447">
        <v>6</v>
      </c>
      <c r="B27" s="460" t="s">
        <v>221</v>
      </c>
      <c r="C27" s="446">
        <v>3640</v>
      </c>
      <c r="D27" s="446"/>
      <c r="E27" s="446">
        <v>3640</v>
      </c>
      <c r="F27" s="446"/>
      <c r="G27" s="483">
        <f t="shared" si="0"/>
        <v>7280</v>
      </c>
      <c r="H27" s="483">
        <f t="shared" si="1"/>
        <v>0</v>
      </c>
      <c r="I27" s="451">
        <f>SUM(H20:H28)</f>
        <v>29141.5</v>
      </c>
      <c r="J27" s="180" t="s">
        <v>434</v>
      </c>
    </row>
    <row r="28" spans="1:9" ht="21.75" customHeight="1">
      <c r="A28" s="447">
        <v>6</v>
      </c>
      <c r="B28" s="460" t="s">
        <v>290</v>
      </c>
      <c r="C28" s="446"/>
      <c r="D28" s="446">
        <v>2426.67</v>
      </c>
      <c r="E28" s="446"/>
      <c r="F28" s="446">
        <f>2426.66+933.33+1493.34</f>
        <v>4853.33</v>
      </c>
      <c r="G28" s="483">
        <f t="shared" si="0"/>
        <v>0</v>
      </c>
      <c r="H28" s="483">
        <f t="shared" si="1"/>
        <v>7280</v>
      </c>
      <c r="I28" s="452">
        <f>+I26-I27</f>
        <v>39598.5</v>
      </c>
    </row>
    <row r="29" spans="2:12" ht="21.75" customHeight="1">
      <c r="B29" s="460"/>
      <c r="C29" s="446"/>
      <c r="D29" s="446"/>
      <c r="E29" s="446"/>
      <c r="F29" s="446"/>
      <c r="G29" s="483">
        <f t="shared" si="0"/>
        <v>0</v>
      </c>
      <c r="H29" s="483">
        <f t="shared" si="1"/>
        <v>0</v>
      </c>
      <c r="I29" s="451"/>
      <c r="L29" s="491" t="s">
        <v>7</v>
      </c>
    </row>
    <row r="30" spans="2:14" ht="21.75" customHeight="1">
      <c r="B30" s="460"/>
      <c r="C30" s="446"/>
      <c r="D30" s="446"/>
      <c r="E30" s="446"/>
      <c r="F30" s="446"/>
      <c r="G30" s="483">
        <f t="shared" si="0"/>
        <v>0</v>
      </c>
      <c r="H30" s="483">
        <f t="shared" si="1"/>
        <v>0</v>
      </c>
      <c r="I30" s="451"/>
      <c r="J30" s="420">
        <f>SUM(G4:G29)</f>
        <v>295133.13</v>
      </c>
      <c r="K30" s="420">
        <f>SUM(H4:H29)</f>
        <v>30742.98</v>
      </c>
      <c r="L30" s="445">
        <f>J30-K30</f>
        <v>264390.15</v>
      </c>
      <c r="N30" s="486">
        <f>+L30+L45+N53</f>
        <v>0</v>
      </c>
    </row>
    <row r="31" spans="2:12" ht="21.75" customHeight="1">
      <c r="B31" s="460"/>
      <c r="C31" s="446"/>
      <c r="D31" s="446"/>
      <c r="E31" s="446"/>
      <c r="F31" s="446"/>
      <c r="G31" s="483">
        <f t="shared" si="0"/>
        <v>0</v>
      </c>
      <c r="H31" s="483">
        <f t="shared" si="1"/>
        <v>0</v>
      </c>
      <c r="I31" s="451"/>
      <c r="J31" s="420"/>
      <c r="K31" s="420"/>
      <c r="L31" s="445">
        <f>J31-K31</f>
        <v>0</v>
      </c>
    </row>
    <row r="32" spans="1:10" ht="21.75" customHeight="1">
      <c r="A32" s="447">
        <v>11</v>
      </c>
      <c r="B32" s="460" t="s">
        <v>245</v>
      </c>
      <c r="C32" s="446"/>
      <c r="D32" s="446">
        <v>24795</v>
      </c>
      <c r="E32" s="446">
        <v>5000</v>
      </c>
      <c r="F32" s="446">
        <v>3700</v>
      </c>
      <c r="G32" s="483">
        <f t="shared" si="0"/>
        <v>0</v>
      </c>
      <c r="H32" s="483">
        <f t="shared" si="1"/>
        <v>23495</v>
      </c>
      <c r="I32" s="455"/>
      <c r="J32" s="180" t="s">
        <v>435</v>
      </c>
    </row>
    <row r="33" spans="1:10" ht="21.75" customHeight="1">
      <c r="A33" s="447">
        <v>11</v>
      </c>
      <c r="B33" s="460" t="s">
        <v>316</v>
      </c>
      <c r="C33" s="446">
        <v>3810</v>
      </c>
      <c r="D33" s="446"/>
      <c r="E33" s="446"/>
      <c r="F33" s="446">
        <v>3484.27</v>
      </c>
      <c r="G33" s="483">
        <f t="shared" si="0"/>
        <v>325.73</v>
      </c>
      <c r="H33" s="483">
        <f t="shared" si="1"/>
        <v>0</v>
      </c>
      <c r="I33" s="455"/>
      <c r="J33" s="180" t="s">
        <v>435</v>
      </c>
    </row>
    <row r="34" spans="1:10" ht="21.75" customHeight="1">
      <c r="A34" s="447">
        <v>11</v>
      </c>
      <c r="B34" s="461" t="s">
        <v>244</v>
      </c>
      <c r="C34" s="446"/>
      <c r="D34" s="446"/>
      <c r="E34" s="446"/>
      <c r="F34" s="446">
        <v>7580</v>
      </c>
      <c r="G34" s="483">
        <f t="shared" si="0"/>
        <v>0</v>
      </c>
      <c r="H34" s="483">
        <f t="shared" si="1"/>
        <v>7580</v>
      </c>
      <c r="I34" s="455"/>
      <c r="J34" s="180" t="s">
        <v>435</v>
      </c>
    </row>
    <row r="35" spans="1:10" ht="21.75" customHeight="1">
      <c r="A35" s="447">
        <v>11</v>
      </c>
      <c r="B35" s="460" t="s">
        <v>317</v>
      </c>
      <c r="C35" s="446">
        <v>150</v>
      </c>
      <c r="D35" s="446"/>
      <c r="E35" s="446"/>
      <c r="F35" s="446">
        <v>59.41</v>
      </c>
      <c r="G35" s="483">
        <f t="shared" si="0"/>
        <v>90.59</v>
      </c>
      <c r="H35" s="483">
        <f t="shared" si="1"/>
        <v>0</v>
      </c>
      <c r="I35" s="456">
        <f>H32-G33+H34-G35</f>
        <v>30658.68</v>
      </c>
      <c r="J35" s="180" t="s">
        <v>435</v>
      </c>
    </row>
    <row r="36" spans="1:10" ht="21.75" customHeight="1">
      <c r="A36" s="447">
        <v>12</v>
      </c>
      <c r="B36" s="460" t="s">
        <v>318</v>
      </c>
      <c r="C36" s="446"/>
      <c r="D36" s="446">
        <v>10959.62</v>
      </c>
      <c r="E36" s="446"/>
      <c r="F36" s="446"/>
      <c r="G36" s="483">
        <f t="shared" si="0"/>
        <v>0</v>
      </c>
      <c r="H36" s="483">
        <f t="shared" si="1"/>
        <v>10959.62</v>
      </c>
      <c r="I36" s="455"/>
      <c r="J36" s="180" t="s">
        <v>436</v>
      </c>
    </row>
    <row r="37" spans="1:10" ht="21.75" customHeight="1">
      <c r="A37" s="447">
        <v>12</v>
      </c>
      <c r="B37" s="460" t="s">
        <v>319</v>
      </c>
      <c r="C37" s="446">
        <v>1589.55</v>
      </c>
      <c r="D37" s="446"/>
      <c r="E37" s="446"/>
      <c r="F37" s="446">
        <v>1154.26</v>
      </c>
      <c r="G37" s="483">
        <f t="shared" si="0"/>
        <v>435.28999999999996</v>
      </c>
      <c r="H37" s="483">
        <f t="shared" si="1"/>
        <v>0</v>
      </c>
      <c r="I37" s="456">
        <f>H36-G37</f>
        <v>10524.330000000002</v>
      </c>
      <c r="J37" s="180" t="s">
        <v>436</v>
      </c>
    </row>
    <row r="38" spans="1:9" ht="21.75" customHeight="1">
      <c r="A38" s="447">
        <v>13</v>
      </c>
      <c r="B38" s="460" t="s">
        <v>255</v>
      </c>
      <c r="C38" s="446"/>
      <c r="D38" s="446"/>
      <c r="E38" s="446"/>
      <c r="F38" s="446">
        <v>1100</v>
      </c>
      <c r="G38" s="483">
        <f t="shared" si="0"/>
        <v>0</v>
      </c>
      <c r="H38" s="483">
        <f t="shared" si="1"/>
        <v>1100</v>
      </c>
      <c r="I38" s="456">
        <f>H38</f>
        <v>1100</v>
      </c>
    </row>
    <row r="39" spans="2:9" ht="21.75" customHeight="1">
      <c r="B39" s="460" t="s">
        <v>237</v>
      </c>
      <c r="C39" s="446"/>
      <c r="D39" s="446"/>
      <c r="E39" s="446">
        <v>4</v>
      </c>
      <c r="F39" s="446"/>
      <c r="G39" s="483">
        <f>IF((C39-D39+E39-F39)&gt;=0,C39-D39+E39-F39,0)</f>
        <v>4</v>
      </c>
      <c r="H39" s="483">
        <f>IF(C39-D39+E39-F39&lt;0,-(C39-D39+E39-F39),0)</f>
        <v>0</v>
      </c>
      <c r="I39" s="451" t="s">
        <v>464</v>
      </c>
    </row>
    <row r="40" spans="2:10" ht="21.75" customHeight="1">
      <c r="B40" s="460" t="s">
        <v>320</v>
      </c>
      <c r="C40" s="446"/>
      <c r="D40" s="446">
        <f>ROUND(1500*0.845,2)</f>
        <v>1267.5</v>
      </c>
      <c r="E40" s="446"/>
      <c r="F40" s="446"/>
      <c r="G40" s="483">
        <f t="shared" si="0"/>
        <v>0</v>
      </c>
      <c r="H40" s="483">
        <f t="shared" si="1"/>
        <v>1267.5</v>
      </c>
      <c r="I40" s="455"/>
      <c r="J40" s="180" t="s">
        <v>437</v>
      </c>
    </row>
    <row r="41" spans="2:10" ht="21.75" customHeight="1">
      <c r="B41" s="460" t="s">
        <v>321</v>
      </c>
      <c r="C41" s="446"/>
      <c r="D41" s="446">
        <f>ROUND(1500*0.402,2)</f>
        <v>603</v>
      </c>
      <c r="E41" s="446"/>
      <c r="F41" s="446"/>
      <c r="G41" s="483">
        <f t="shared" si="0"/>
        <v>0</v>
      </c>
      <c r="H41" s="483">
        <f t="shared" si="1"/>
        <v>603</v>
      </c>
      <c r="I41" s="455"/>
      <c r="J41" s="180" t="s">
        <v>437</v>
      </c>
    </row>
    <row r="42" spans="2:10" ht="21.75" customHeight="1">
      <c r="B42" s="460" t="s">
        <v>322</v>
      </c>
      <c r="C42" s="446"/>
      <c r="D42" s="446">
        <f>ROUND(1500*0.06,2)</f>
        <v>90</v>
      </c>
      <c r="E42" s="446"/>
      <c r="F42" s="446"/>
      <c r="G42" s="483">
        <f t="shared" si="0"/>
        <v>0</v>
      </c>
      <c r="H42" s="483">
        <f t="shared" si="1"/>
        <v>90</v>
      </c>
      <c r="I42" s="456">
        <f>H40+H41+H42-G39</f>
        <v>1956.5</v>
      </c>
      <c r="J42" s="180" t="s">
        <v>437</v>
      </c>
    </row>
    <row r="43" spans="2:10" ht="21.75" customHeight="1">
      <c r="B43" s="460" t="s">
        <v>323</v>
      </c>
      <c r="C43" s="446"/>
      <c r="D43" s="446">
        <v>3690</v>
      </c>
      <c r="E43" s="446"/>
      <c r="F43" s="446"/>
      <c r="G43" s="483">
        <f>IF((C43-D43+E43-F43)&gt;=0,C43-D43+E43-F43,0)</f>
        <v>0</v>
      </c>
      <c r="H43" s="483">
        <f>IF(C43-D43+E43-F43&lt;0,-(C43-D43+E43-F43),0)</f>
        <v>3690</v>
      </c>
      <c r="I43" s="455"/>
      <c r="J43" s="180" t="s">
        <v>438</v>
      </c>
    </row>
    <row r="44" spans="2:12" ht="21.75" customHeight="1">
      <c r="B44" s="460" t="s">
        <v>324</v>
      </c>
      <c r="C44" s="446">
        <f>3218.85-36.49</f>
        <v>3182.36</v>
      </c>
      <c r="D44" s="446"/>
      <c r="E44" s="446"/>
      <c r="F44" s="446"/>
      <c r="G44" s="483">
        <f>IF((C44-D44+E44-F44)&gt;=0,C44-D44+E44-F44,0)</f>
        <v>3182.36</v>
      </c>
      <c r="H44" s="483">
        <f>IF(C44-D44+E44-F44&lt;0,-(C44-D44+E44-F44),0)</f>
        <v>0</v>
      </c>
      <c r="I44" s="456">
        <f>H43-G44</f>
        <v>507.6399999999999</v>
      </c>
      <c r="J44" s="180" t="s">
        <v>438</v>
      </c>
      <c r="L44" s="491" t="s">
        <v>69</v>
      </c>
    </row>
    <row r="45" spans="2:12" ht="21.75" customHeight="1">
      <c r="B45" s="460"/>
      <c r="C45" s="446"/>
      <c r="D45" s="446"/>
      <c r="E45" s="446"/>
      <c r="F45" s="446"/>
      <c r="G45" s="483">
        <f>IF((C45-D45+E45-F45)&gt;=0,C45-D45+E45-F45,0)</f>
        <v>0</v>
      </c>
      <c r="H45" s="483">
        <f>IF(C45-D45+E45-F45&lt;0,-(C45-D45+E45-F45),0)</f>
        <v>0</v>
      </c>
      <c r="I45" s="455"/>
      <c r="J45" s="420">
        <f>SUM(G31:G45)</f>
        <v>4037.9700000000003</v>
      </c>
      <c r="K45" s="420">
        <f>SUM(H31:H45)</f>
        <v>48785.12</v>
      </c>
      <c r="L45" s="445">
        <f>J45-K45</f>
        <v>-44747.15</v>
      </c>
    </row>
    <row r="46" spans="2:9" ht="21.75" customHeight="1">
      <c r="B46" s="460"/>
      <c r="C46" s="446"/>
      <c r="D46" s="446"/>
      <c r="E46" s="446"/>
      <c r="F46" s="446"/>
      <c r="G46" s="483">
        <f>IF((C46-D46+E46-F46)&gt;=0,C46-D46+E46-F46,0)</f>
        <v>0</v>
      </c>
      <c r="H46" s="483">
        <f>IF(C46-D46+E46-F46&lt;0,-(C46-D46+E46-F46),0)</f>
        <v>0</v>
      </c>
      <c r="I46" s="455"/>
    </row>
    <row r="47" spans="2:9" ht="21.75" customHeight="1">
      <c r="B47" s="460"/>
      <c r="C47" s="446"/>
      <c r="D47" s="446"/>
      <c r="E47" s="446"/>
      <c r="F47" s="446"/>
      <c r="G47" s="483">
        <f t="shared" si="0"/>
        <v>0</v>
      </c>
      <c r="H47" s="483">
        <f t="shared" si="1"/>
        <v>0</v>
      </c>
      <c r="I47" s="455"/>
    </row>
    <row r="48" spans="1:9" ht="21.75" customHeight="1">
      <c r="A48" s="447">
        <v>20</v>
      </c>
      <c r="B48" s="460" t="s">
        <v>29</v>
      </c>
      <c r="C48" s="446"/>
      <c r="D48" s="446">
        <v>50000</v>
      </c>
      <c r="E48" s="446"/>
      <c r="F48" s="446"/>
      <c r="G48" s="483">
        <f t="shared" si="0"/>
        <v>0</v>
      </c>
      <c r="H48" s="483">
        <f t="shared" si="1"/>
        <v>50000</v>
      </c>
      <c r="I48" s="455"/>
    </row>
    <row r="49" spans="1:9" ht="21.75" customHeight="1">
      <c r="A49" s="447">
        <v>21</v>
      </c>
      <c r="B49" s="460" t="s">
        <v>303</v>
      </c>
      <c r="C49" s="446"/>
      <c r="D49" s="446">
        <v>25000</v>
      </c>
      <c r="E49" s="446"/>
      <c r="F49" s="446">
        <v>75000</v>
      </c>
      <c r="G49" s="483">
        <f t="shared" si="0"/>
        <v>0</v>
      </c>
      <c r="H49" s="483">
        <f t="shared" si="1"/>
        <v>100000</v>
      </c>
      <c r="I49" s="455"/>
    </row>
    <row r="50" spans="1:9" ht="21.75" customHeight="1">
      <c r="A50" s="447">
        <v>22</v>
      </c>
      <c r="B50" s="460" t="s">
        <v>31</v>
      </c>
      <c r="C50" s="446"/>
      <c r="D50" s="446">
        <v>15000</v>
      </c>
      <c r="E50" s="446"/>
      <c r="F50" s="446">
        <v>15000</v>
      </c>
      <c r="G50" s="483">
        <f t="shared" si="0"/>
        <v>0</v>
      </c>
      <c r="H50" s="483">
        <f t="shared" si="1"/>
        <v>30000</v>
      </c>
      <c r="I50" s="451"/>
    </row>
    <row r="51" spans="1:9" ht="21.75" customHeight="1">
      <c r="A51" s="447">
        <v>23</v>
      </c>
      <c r="B51" s="460" t="s">
        <v>122</v>
      </c>
      <c r="C51" s="446"/>
      <c r="D51" s="446">
        <v>10000</v>
      </c>
      <c r="E51" s="446"/>
      <c r="F51" s="446">
        <v>12400</v>
      </c>
      <c r="G51" s="483">
        <f t="shared" si="0"/>
        <v>0</v>
      </c>
      <c r="H51" s="483">
        <f t="shared" si="1"/>
        <v>22400</v>
      </c>
      <c r="I51" s="452">
        <f>SUM(H48:H51)</f>
        <v>202400</v>
      </c>
    </row>
    <row r="52" spans="2:14" ht="21.75" customHeight="1">
      <c r="B52" s="460"/>
      <c r="C52" s="446"/>
      <c r="D52" s="446"/>
      <c r="E52" s="446"/>
      <c r="F52" s="446"/>
      <c r="G52" s="483">
        <f>IF((C52-D52+E52-F52)&gt;=0,C52-D52+E52-F52,0)</f>
        <v>0</v>
      </c>
      <c r="H52" s="483">
        <f>IF(C52-D52+E52-F52&lt;0,-(C52-D52+E52-F52),0)</f>
        <v>0</v>
      </c>
      <c r="I52" s="451"/>
      <c r="L52" s="491" t="s">
        <v>325</v>
      </c>
      <c r="M52" s="491" t="s">
        <v>326</v>
      </c>
      <c r="N52" s="180" t="s">
        <v>327</v>
      </c>
    </row>
    <row r="53" spans="2:14" ht="21.75" customHeight="1">
      <c r="B53" s="460"/>
      <c r="C53" s="446"/>
      <c r="D53" s="446"/>
      <c r="E53" s="446"/>
      <c r="F53" s="446"/>
      <c r="G53" s="483">
        <f>IF((C53-D53+E53-F53)&gt;=0,C53-D53+E53-F53,0)</f>
        <v>0</v>
      </c>
      <c r="H53" s="483">
        <f>IF(C53-D53+E53-F53&lt;0,-(C53-D53+E53-F53),0)</f>
        <v>0</v>
      </c>
      <c r="I53" s="451"/>
      <c r="J53" s="420">
        <f>SUM(G47:G52)</f>
        <v>0</v>
      </c>
      <c r="K53" s="420">
        <f>SUM(H47:H52)</f>
        <v>202400</v>
      </c>
      <c r="L53" s="445">
        <f>J53-K53</f>
        <v>-202400</v>
      </c>
      <c r="M53" s="420">
        <f>-M88</f>
        <v>-17243</v>
      </c>
      <c r="N53" s="420">
        <f>L53+M53</f>
        <v>-219643</v>
      </c>
    </row>
    <row r="54" spans="2:12" ht="21.75" customHeight="1">
      <c r="B54" s="460"/>
      <c r="C54" s="446"/>
      <c r="D54" s="446"/>
      <c r="E54" s="446"/>
      <c r="F54" s="446"/>
      <c r="G54" s="483">
        <f>IF((C54-D54+E54-F54)&gt;=0,C54-D54+E54-F54,0)</f>
        <v>0</v>
      </c>
      <c r="H54" s="483">
        <f>IF(C54-D54+E54-F54&lt;0,-(C54-D54+E54-F54),0)</f>
        <v>0</v>
      </c>
      <c r="I54" s="451"/>
      <c r="J54" s="420"/>
      <c r="K54" s="420"/>
      <c r="L54" s="445"/>
    </row>
    <row r="55" spans="1:9" ht="21.75" customHeight="1">
      <c r="A55" s="447">
        <v>30</v>
      </c>
      <c r="B55" s="460" t="s">
        <v>254</v>
      </c>
      <c r="C55" s="446"/>
      <c r="D55" s="446">
        <v>376725.65</v>
      </c>
      <c r="E55" s="446">
        <f>1100</f>
        <v>1100</v>
      </c>
      <c r="F55" s="446">
        <f>2924.35+139095</f>
        <v>142019.35</v>
      </c>
      <c r="G55" s="483">
        <f t="shared" si="0"/>
        <v>0</v>
      </c>
      <c r="H55" s="483">
        <f t="shared" si="1"/>
        <v>517645</v>
      </c>
      <c r="I55" s="451"/>
    </row>
    <row r="56" spans="1:9" ht="21.75" customHeight="1">
      <c r="A56" s="447">
        <v>31</v>
      </c>
      <c r="B56" s="460" t="s">
        <v>328</v>
      </c>
      <c r="C56" s="446"/>
      <c r="D56" s="446">
        <v>25000</v>
      </c>
      <c r="E56" s="446"/>
      <c r="F56" s="446">
        <v>10000</v>
      </c>
      <c r="G56" s="483">
        <f t="shared" si="0"/>
        <v>0</v>
      </c>
      <c r="H56" s="483">
        <f t="shared" si="1"/>
        <v>35000</v>
      </c>
      <c r="I56" s="451"/>
    </row>
    <row r="57" spans="1:9" ht="21.75" customHeight="1">
      <c r="A57" s="447">
        <v>32</v>
      </c>
      <c r="B57" s="460" t="s">
        <v>267</v>
      </c>
      <c r="C57" s="446"/>
      <c r="D57" s="446">
        <v>500</v>
      </c>
      <c r="E57" s="446">
        <v>500</v>
      </c>
      <c r="F57" s="446"/>
      <c r="G57" s="483">
        <f t="shared" si="0"/>
        <v>0</v>
      </c>
      <c r="H57" s="483">
        <f t="shared" si="1"/>
        <v>0</v>
      </c>
      <c r="I57" s="451"/>
    </row>
    <row r="58" spans="1:9" ht="21.75" customHeight="1">
      <c r="A58" s="447">
        <v>33</v>
      </c>
      <c r="B58" s="460" t="s">
        <v>241</v>
      </c>
      <c r="C58" s="446"/>
      <c r="D58" s="446">
        <v>0</v>
      </c>
      <c r="E58" s="446"/>
      <c r="F58" s="446">
        <v>200</v>
      </c>
      <c r="G58" s="483">
        <f t="shared" si="0"/>
        <v>0</v>
      </c>
      <c r="H58" s="483">
        <f t="shared" si="1"/>
        <v>200</v>
      </c>
      <c r="I58" s="451"/>
    </row>
    <row r="59" spans="1:9" ht="21.75" customHeight="1">
      <c r="A59" s="447">
        <v>34</v>
      </c>
      <c r="B59" s="460" t="s">
        <v>329</v>
      </c>
      <c r="C59" s="446"/>
      <c r="D59" s="446">
        <v>0</v>
      </c>
      <c r="E59" s="446"/>
      <c r="F59" s="446">
        <v>255.51</v>
      </c>
      <c r="G59" s="483">
        <f t="shared" si="0"/>
        <v>0</v>
      </c>
      <c r="H59" s="483">
        <f t="shared" si="1"/>
        <v>255.51</v>
      </c>
      <c r="I59" s="451"/>
    </row>
    <row r="60" spans="1:9" ht="21.75" customHeight="1">
      <c r="A60" s="447">
        <v>35</v>
      </c>
      <c r="B60" s="460" t="s">
        <v>330</v>
      </c>
      <c r="C60" s="446"/>
      <c r="D60" s="446">
        <v>0</v>
      </c>
      <c r="E60" s="446"/>
      <c r="F60" s="446">
        <f>12247.62+5689.5+386.07</f>
        <v>18323.190000000002</v>
      </c>
      <c r="G60" s="483">
        <f t="shared" si="0"/>
        <v>0</v>
      </c>
      <c r="H60" s="483">
        <f t="shared" si="1"/>
        <v>18323.190000000002</v>
      </c>
      <c r="I60" s="452">
        <f>SUM(H55:H60)</f>
        <v>571423.7</v>
      </c>
    </row>
    <row r="61" spans="2:12" ht="21.75" customHeight="1">
      <c r="B61" s="460"/>
      <c r="C61" s="446"/>
      <c r="D61" s="446"/>
      <c r="E61" s="446"/>
      <c r="F61" s="446"/>
      <c r="G61" s="483">
        <f t="shared" si="0"/>
        <v>0</v>
      </c>
      <c r="H61" s="483">
        <f t="shared" si="1"/>
        <v>0</v>
      </c>
      <c r="I61" s="451"/>
      <c r="L61" s="491" t="s">
        <v>331</v>
      </c>
    </row>
    <row r="62" spans="2:12" ht="21.75" customHeight="1">
      <c r="B62" s="460"/>
      <c r="C62" s="446"/>
      <c r="D62" s="446"/>
      <c r="E62" s="446"/>
      <c r="F62" s="446"/>
      <c r="G62" s="483">
        <f t="shared" si="0"/>
        <v>0</v>
      </c>
      <c r="H62" s="483">
        <f t="shared" si="1"/>
        <v>0</v>
      </c>
      <c r="I62" s="451"/>
      <c r="J62" s="420">
        <f>SUM(G54:G61)</f>
        <v>0</v>
      </c>
      <c r="K62" s="420">
        <f>SUM(H54:H61)</f>
        <v>571423.7</v>
      </c>
      <c r="L62" s="445">
        <f>J62-K62</f>
        <v>-571423.7</v>
      </c>
    </row>
    <row r="63" spans="2:12" ht="21.75" customHeight="1">
      <c r="B63" s="460"/>
      <c r="C63" s="446"/>
      <c r="D63" s="446"/>
      <c r="E63" s="446"/>
      <c r="F63" s="446"/>
      <c r="G63" s="483">
        <f t="shared" si="0"/>
        <v>0</v>
      </c>
      <c r="H63" s="483">
        <f t="shared" si="1"/>
        <v>0</v>
      </c>
      <c r="I63" s="451"/>
      <c r="J63" s="420"/>
      <c r="K63" s="420"/>
      <c r="L63" s="445"/>
    </row>
    <row r="64" spans="1:9" ht="21.75" customHeight="1">
      <c r="A64" s="447">
        <v>40</v>
      </c>
      <c r="B64" s="460" t="s">
        <v>265</v>
      </c>
      <c r="C64" s="446">
        <v>421771.7</v>
      </c>
      <c r="D64" s="446"/>
      <c r="E64" s="446"/>
      <c r="F64" s="446">
        <v>2115</v>
      </c>
      <c r="G64" s="483">
        <f t="shared" si="0"/>
        <v>419656.7</v>
      </c>
      <c r="H64" s="483">
        <f t="shared" si="1"/>
        <v>0</v>
      </c>
      <c r="I64" s="451"/>
    </row>
    <row r="65" spans="1:9" ht="21.75" customHeight="1">
      <c r="A65" s="447">
        <v>41</v>
      </c>
      <c r="B65" s="461" t="s">
        <v>188</v>
      </c>
      <c r="C65" s="446"/>
      <c r="D65" s="446"/>
      <c r="E65" s="446">
        <f>600+1200</f>
        <v>1800</v>
      </c>
      <c r="F65" s="446"/>
      <c r="G65" s="483">
        <f t="shared" si="0"/>
        <v>1800</v>
      </c>
      <c r="H65" s="483">
        <f t="shared" si="1"/>
        <v>0</v>
      </c>
      <c r="I65" s="451"/>
    </row>
    <row r="66" spans="1:9" ht="21.75" customHeight="1">
      <c r="A66" s="447">
        <v>42</v>
      </c>
      <c r="B66" s="461" t="s">
        <v>189</v>
      </c>
      <c r="C66" s="446"/>
      <c r="D66" s="446"/>
      <c r="E66" s="446">
        <f>13.5+27</f>
        <v>40.5</v>
      </c>
      <c r="F66" s="446"/>
      <c r="G66" s="483">
        <f t="shared" si="0"/>
        <v>40.5</v>
      </c>
      <c r="H66" s="483">
        <f t="shared" si="1"/>
        <v>0</v>
      </c>
      <c r="I66" s="451"/>
    </row>
    <row r="67" spans="1:9" ht="21.75" customHeight="1">
      <c r="A67" s="447">
        <v>43</v>
      </c>
      <c r="B67" s="461" t="s">
        <v>190</v>
      </c>
      <c r="C67" s="446"/>
      <c r="D67" s="446"/>
      <c r="E67" s="446">
        <f>269+506</f>
        <v>775</v>
      </c>
      <c r="F67" s="446"/>
      <c r="G67" s="483">
        <f t="shared" si="0"/>
        <v>775</v>
      </c>
      <c r="H67" s="483">
        <f t="shared" si="1"/>
        <v>0</v>
      </c>
      <c r="I67" s="451"/>
    </row>
    <row r="68" spans="1:9" ht="21.75" customHeight="1">
      <c r="A68" s="447">
        <v>44</v>
      </c>
      <c r="B68" s="461" t="s">
        <v>191</v>
      </c>
      <c r="C68" s="446"/>
      <c r="D68" s="446"/>
      <c r="E68" s="446">
        <f>8000+1200</f>
        <v>9200</v>
      </c>
      <c r="F68" s="446"/>
      <c r="G68" s="483">
        <f aca="true" t="shared" si="2" ref="G68:G87">IF((C68-D68+E68-F68)&gt;=0,C68-D68+E68-F68,0)</f>
        <v>9200</v>
      </c>
      <c r="H68" s="483">
        <f aca="true" t="shared" si="3" ref="H68:H88">IF(C68-D68+E68-F68&lt;0,-(C68-D68+E68-F68),0)</f>
        <v>0</v>
      </c>
      <c r="I68" s="451"/>
    </row>
    <row r="69" spans="1:9" ht="21.75" customHeight="1">
      <c r="A69" s="447">
        <v>45</v>
      </c>
      <c r="B69" s="460" t="s">
        <v>192</v>
      </c>
      <c r="C69" s="446"/>
      <c r="D69" s="446"/>
      <c r="E69" s="446">
        <f>933.33+1493.34</f>
        <v>2426.67</v>
      </c>
      <c r="F69" s="446"/>
      <c r="G69" s="483">
        <f t="shared" si="2"/>
        <v>2426.67</v>
      </c>
      <c r="H69" s="483">
        <f t="shared" si="3"/>
        <v>0</v>
      </c>
      <c r="I69" s="451"/>
    </row>
    <row r="70" spans="1:9" ht="21.75" customHeight="1">
      <c r="A70" s="447">
        <v>46</v>
      </c>
      <c r="B70" s="460" t="s">
        <v>193</v>
      </c>
      <c r="C70" s="446">
        <v>630</v>
      </c>
      <c r="D70" s="446"/>
      <c r="E70" s="446">
        <f>28+222.98</f>
        <v>250.98</v>
      </c>
      <c r="F70" s="446"/>
      <c r="G70" s="483">
        <f t="shared" si="2"/>
        <v>880.98</v>
      </c>
      <c r="H70" s="483">
        <f t="shared" si="3"/>
        <v>0</v>
      </c>
      <c r="I70" s="451"/>
    </row>
    <row r="71" spans="1:9" ht="21.75" customHeight="1">
      <c r="A71" s="447">
        <v>47</v>
      </c>
      <c r="B71" s="460" t="s">
        <v>194</v>
      </c>
      <c r="C71" s="446">
        <v>3140</v>
      </c>
      <c r="D71" s="446"/>
      <c r="E71" s="446">
        <f>100+888.75</f>
        <v>988.75</v>
      </c>
      <c r="F71" s="446"/>
      <c r="G71" s="483">
        <f t="shared" si="2"/>
        <v>4128.75</v>
      </c>
      <c r="H71" s="483">
        <f t="shared" si="3"/>
        <v>0</v>
      </c>
      <c r="I71" s="451"/>
    </row>
    <row r="72" spans="1:9" ht="21.75" customHeight="1">
      <c r="A72" s="447">
        <v>48</v>
      </c>
      <c r="B72" s="460" t="s">
        <v>195</v>
      </c>
      <c r="C72" s="446">
        <v>1838.93</v>
      </c>
      <c r="D72" s="446"/>
      <c r="E72" s="446">
        <v>260.67</v>
      </c>
      <c r="F72" s="446"/>
      <c r="G72" s="483">
        <f t="shared" si="2"/>
        <v>2099.6</v>
      </c>
      <c r="H72" s="483">
        <f t="shared" si="3"/>
        <v>0</v>
      </c>
      <c r="I72" s="451"/>
    </row>
    <row r="73" spans="1:9" ht="21.75" customHeight="1">
      <c r="A73" s="447">
        <v>49</v>
      </c>
      <c r="B73" s="460" t="s">
        <v>196</v>
      </c>
      <c r="C73" s="446">
        <v>1200</v>
      </c>
      <c r="D73" s="446"/>
      <c r="E73" s="446">
        <f>55+429.45</f>
        <v>484.45</v>
      </c>
      <c r="F73" s="446"/>
      <c r="G73" s="483">
        <f t="shared" si="2"/>
        <v>1684.45</v>
      </c>
      <c r="H73" s="483">
        <f t="shared" si="3"/>
        <v>0</v>
      </c>
      <c r="I73" s="451"/>
    </row>
    <row r="74" spans="1:9" ht="21.75" customHeight="1">
      <c r="A74" s="447">
        <v>50</v>
      </c>
      <c r="B74" s="460" t="s">
        <v>332</v>
      </c>
      <c r="C74" s="446"/>
      <c r="D74" s="446"/>
      <c r="E74" s="446">
        <v>12000</v>
      </c>
      <c r="F74" s="446"/>
      <c r="G74" s="483">
        <f t="shared" si="2"/>
        <v>12000</v>
      </c>
      <c r="H74" s="483">
        <f t="shared" si="3"/>
        <v>0</v>
      </c>
      <c r="I74" s="451"/>
    </row>
    <row r="75" spans="1:9" ht="21.75" customHeight="1">
      <c r="A75" s="447">
        <v>51</v>
      </c>
      <c r="B75" s="460" t="s">
        <v>197</v>
      </c>
      <c r="C75" s="446"/>
      <c r="D75" s="446"/>
      <c r="E75" s="446">
        <v>400</v>
      </c>
      <c r="F75" s="446"/>
      <c r="G75" s="483">
        <f t="shared" si="2"/>
        <v>400</v>
      </c>
      <c r="H75" s="483">
        <f t="shared" si="3"/>
        <v>0</v>
      </c>
      <c r="I75" s="451"/>
    </row>
    <row r="76" spans="1:9" ht="21.75" customHeight="1">
      <c r="A76" s="447">
        <v>52</v>
      </c>
      <c r="B76" s="460" t="s">
        <v>198</v>
      </c>
      <c r="C76" s="446">
        <v>1280</v>
      </c>
      <c r="D76" s="446"/>
      <c r="E76" s="446">
        <v>437.6</v>
      </c>
      <c r="F76" s="446"/>
      <c r="G76" s="483">
        <f t="shared" si="2"/>
        <v>1717.6</v>
      </c>
      <c r="H76" s="483">
        <f t="shared" si="3"/>
        <v>0</v>
      </c>
      <c r="I76" s="451"/>
    </row>
    <row r="77" spans="1:9" ht="21.75" customHeight="1">
      <c r="A77" s="447">
        <v>53</v>
      </c>
      <c r="B77" s="460" t="s">
        <v>199</v>
      </c>
      <c r="C77" s="446">
        <v>1540</v>
      </c>
      <c r="D77" s="446"/>
      <c r="E77" s="446">
        <f>40+528</f>
        <v>568</v>
      </c>
      <c r="F77" s="446"/>
      <c r="G77" s="483">
        <f t="shared" si="2"/>
        <v>2108</v>
      </c>
      <c r="H77" s="483">
        <f t="shared" si="3"/>
        <v>0</v>
      </c>
      <c r="I77" s="451"/>
    </row>
    <row r="78" spans="1:9" ht="21.75" customHeight="1">
      <c r="A78" s="447">
        <v>54</v>
      </c>
      <c r="B78" s="460" t="s">
        <v>200</v>
      </c>
      <c r="C78" s="446">
        <v>3910</v>
      </c>
      <c r="D78" s="446"/>
      <c r="E78" s="446">
        <v>1162.5</v>
      </c>
      <c r="F78" s="446"/>
      <c r="G78" s="483">
        <f t="shared" si="2"/>
        <v>5072.5</v>
      </c>
      <c r="H78" s="483">
        <f t="shared" si="3"/>
        <v>0</v>
      </c>
      <c r="I78" s="451"/>
    </row>
    <row r="79" spans="1:9" ht="21.75" customHeight="1">
      <c r="A79" s="447">
        <v>55</v>
      </c>
      <c r="B79" s="460" t="s">
        <v>201</v>
      </c>
      <c r="C79" s="446">
        <v>1200</v>
      </c>
      <c r="D79" s="446"/>
      <c r="E79" s="446">
        <f>93+407.9</f>
        <v>500.9</v>
      </c>
      <c r="F79" s="446"/>
      <c r="G79" s="483">
        <f t="shared" si="2"/>
        <v>1700.9</v>
      </c>
      <c r="H79" s="483">
        <f t="shared" si="3"/>
        <v>0</v>
      </c>
      <c r="I79" s="451"/>
    </row>
    <row r="80" spans="1:9" ht="21.75" customHeight="1">
      <c r="A80" s="447">
        <v>56</v>
      </c>
      <c r="B80" s="460" t="s">
        <v>333</v>
      </c>
      <c r="C80" s="446">
        <v>3690</v>
      </c>
      <c r="D80" s="446"/>
      <c r="E80" s="446"/>
      <c r="F80" s="446"/>
      <c r="G80" s="483">
        <f t="shared" si="2"/>
        <v>3690</v>
      </c>
      <c r="H80" s="483">
        <f t="shared" si="3"/>
        <v>0</v>
      </c>
      <c r="I80" s="451"/>
    </row>
    <row r="81" spans="1:9" ht="21.75" customHeight="1">
      <c r="A81" s="447">
        <v>58</v>
      </c>
      <c r="B81" s="460" t="s">
        <v>202</v>
      </c>
      <c r="C81" s="446">
        <v>7571</v>
      </c>
      <c r="D81" s="446"/>
      <c r="E81" s="446">
        <v>2781.9</v>
      </c>
      <c r="F81" s="446"/>
      <c r="G81" s="483">
        <f t="shared" si="2"/>
        <v>10352.9</v>
      </c>
      <c r="H81" s="483">
        <f t="shared" si="3"/>
        <v>0</v>
      </c>
      <c r="I81" s="451"/>
    </row>
    <row r="82" spans="1:9" ht="21.75" customHeight="1">
      <c r="A82" s="447">
        <v>59</v>
      </c>
      <c r="B82" s="460" t="s">
        <v>203</v>
      </c>
      <c r="C82" s="446">
        <v>910</v>
      </c>
      <c r="D82" s="446"/>
      <c r="E82" s="446">
        <v>320</v>
      </c>
      <c r="F82" s="446"/>
      <c r="G82" s="483">
        <f t="shared" si="2"/>
        <v>1230</v>
      </c>
      <c r="H82" s="483">
        <f t="shared" si="3"/>
        <v>0</v>
      </c>
      <c r="I82" s="451"/>
    </row>
    <row r="83" spans="1:9" ht="21.75" customHeight="1">
      <c r="A83" s="447">
        <v>60</v>
      </c>
      <c r="B83" s="460" t="s">
        <v>204</v>
      </c>
      <c r="C83" s="446">
        <v>3120</v>
      </c>
      <c r="D83" s="446"/>
      <c r="E83" s="446">
        <v>1092.8</v>
      </c>
      <c r="F83" s="446"/>
      <c r="G83" s="483">
        <f t="shared" si="2"/>
        <v>4212.8</v>
      </c>
      <c r="H83" s="483">
        <f t="shared" si="3"/>
        <v>0</v>
      </c>
      <c r="I83" s="451"/>
    </row>
    <row r="84" spans="1:9" ht="21.75" customHeight="1">
      <c r="A84" s="447">
        <v>61</v>
      </c>
      <c r="B84" s="460" t="s">
        <v>334</v>
      </c>
      <c r="C84" s="446"/>
      <c r="D84" s="446"/>
      <c r="E84" s="446">
        <f>3484.27+59.41+1154.26</f>
        <v>4697.94</v>
      </c>
      <c r="F84" s="446"/>
      <c r="G84" s="483">
        <f t="shared" si="2"/>
        <v>4697.94</v>
      </c>
      <c r="H84" s="483">
        <f t="shared" si="3"/>
        <v>0</v>
      </c>
      <c r="I84" s="451"/>
    </row>
    <row r="85" spans="1:9" ht="21.75" customHeight="1">
      <c r="A85" s="447">
        <v>62</v>
      </c>
      <c r="B85" s="460" t="s">
        <v>205</v>
      </c>
      <c r="C85" s="446">
        <f>(830*3+1000*3+500)</f>
        <v>5990</v>
      </c>
      <c r="D85" s="446"/>
      <c r="E85" s="446">
        <v>849.1</v>
      </c>
      <c r="F85" s="446"/>
      <c r="G85" s="483">
        <f t="shared" si="2"/>
        <v>6839.1</v>
      </c>
      <c r="H85" s="483">
        <f t="shared" si="3"/>
        <v>0</v>
      </c>
      <c r="I85" s="451"/>
    </row>
    <row r="86" spans="1:9" ht="21.75" customHeight="1">
      <c r="A86" s="447">
        <v>63</v>
      </c>
      <c r="B86" s="460" t="s">
        <v>206</v>
      </c>
      <c r="C86" s="446">
        <v>890</v>
      </c>
      <c r="D86" s="446"/>
      <c r="E86" s="446">
        <v>277.7</v>
      </c>
      <c r="F86" s="446"/>
      <c r="G86" s="483">
        <f t="shared" si="2"/>
        <v>1167.7</v>
      </c>
      <c r="H86" s="483">
        <f t="shared" si="3"/>
        <v>0</v>
      </c>
      <c r="I86" s="451"/>
    </row>
    <row r="87" spans="1:13" ht="21.75" customHeight="1">
      <c r="A87" s="447">
        <v>73</v>
      </c>
      <c r="B87" s="460"/>
      <c r="C87" s="446"/>
      <c r="D87" s="446"/>
      <c r="E87" s="446"/>
      <c r="F87" s="446"/>
      <c r="G87" s="483">
        <f t="shared" si="2"/>
        <v>0</v>
      </c>
      <c r="H87" s="483">
        <f t="shared" si="3"/>
        <v>0</v>
      </c>
      <c r="I87" s="451"/>
      <c r="L87" s="492" t="s">
        <v>335</v>
      </c>
      <c r="M87" s="492" t="s">
        <v>326</v>
      </c>
    </row>
    <row r="88" spans="1:13" ht="21.75" customHeight="1">
      <c r="A88" s="447">
        <v>74</v>
      </c>
      <c r="B88" s="460" t="s">
        <v>260</v>
      </c>
      <c r="C88" s="446"/>
      <c r="D88" s="446">
        <v>166731.7</v>
      </c>
      <c r="E88" s="446">
        <f>10000+139095+102400</f>
        <v>251495</v>
      </c>
      <c r="F88" s="446">
        <f>2885+7807+6000+2113.34+1109.77+8549.58</f>
        <v>28464.690000000002</v>
      </c>
      <c r="G88" s="483">
        <f>IF((C88-D88+E88-F88)&gt;=0,C88-D88+E88-F88,0)</f>
        <v>56298.609999999986</v>
      </c>
      <c r="H88" s="483">
        <f t="shared" si="3"/>
        <v>0</v>
      </c>
      <c r="I88" s="452">
        <f>SUM(G64:G88)</f>
        <v>554180.7</v>
      </c>
      <c r="J88" s="420">
        <f>SUM(G64:G88)</f>
        <v>554180.7</v>
      </c>
      <c r="K88" s="420">
        <f>SUM(H64:H88)</f>
        <v>0</v>
      </c>
      <c r="L88" s="485">
        <f>J88-K88</f>
        <v>554180.7</v>
      </c>
      <c r="M88" s="485">
        <f>-L62-L88</f>
        <v>17243</v>
      </c>
    </row>
    <row r="89" spans="1:12" s="277" customFormat="1" ht="21.75" customHeight="1">
      <c r="A89" s="448"/>
      <c r="B89" s="459" t="s">
        <v>21</v>
      </c>
      <c r="C89" s="449">
        <f aca="true" t="shared" si="4" ref="C89:L89">SUM(C4:C88)</f>
        <v>761916.67</v>
      </c>
      <c r="D89" s="449">
        <f t="shared" si="4"/>
        <v>761916.6699999999</v>
      </c>
      <c r="E89" s="449">
        <f t="shared" si="4"/>
        <v>434957.16000000003</v>
      </c>
      <c r="F89" s="449">
        <f t="shared" si="4"/>
        <v>434957.16000000003</v>
      </c>
      <c r="G89" s="483">
        <f t="shared" si="4"/>
        <v>853351.7999999999</v>
      </c>
      <c r="H89" s="483">
        <f>SUM(H4:H88)</f>
        <v>853351.8</v>
      </c>
      <c r="I89" s="453"/>
      <c r="J89" s="444">
        <f t="shared" si="4"/>
        <v>853351.7999999999</v>
      </c>
      <c r="K89" s="444">
        <f>SUM(K4:K88)</f>
        <v>853351.7999999999</v>
      </c>
      <c r="L89" s="484">
        <f t="shared" si="4"/>
        <v>0</v>
      </c>
    </row>
    <row r="90" spans="4:9" ht="21.75" customHeight="1">
      <c r="D90" s="482">
        <f>C89-D89</f>
        <v>0</v>
      </c>
      <c r="E90" s="481"/>
      <c r="F90" s="482">
        <f>E89-F89</f>
        <v>0</v>
      </c>
      <c r="G90" s="481"/>
      <c r="H90" s="482">
        <f>G89-H89</f>
        <v>0</v>
      </c>
      <c r="I90" s="454"/>
    </row>
    <row r="91" spans="6:7" ht="21.75" customHeight="1">
      <c r="F91" s="445">
        <f>+F89-REGISTR!E135</f>
        <v>0</v>
      </c>
      <c r="G91" s="445"/>
    </row>
    <row r="92" ht="21.75" customHeight="1"/>
    <row r="93" spans="3:13" ht="21.75" customHeight="1">
      <c r="C93" s="445"/>
      <c r="D93" s="445"/>
      <c r="E93" s="445"/>
      <c r="F93" s="445"/>
      <c r="G93" s="445"/>
      <c r="H93" s="445"/>
      <c r="M93" s="420"/>
    </row>
    <row r="94" spans="8:9" ht="21.75" customHeight="1">
      <c r="H94" s="445"/>
      <c r="I94" s="454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</sheetData>
  <mergeCells count="5">
    <mergeCell ref="B1:H1"/>
    <mergeCell ref="B2:B3"/>
    <mergeCell ref="C2:D2"/>
    <mergeCell ref="E2:F2"/>
    <mergeCell ref="G2:H2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workbookViewId="0" topLeftCell="A33">
      <selection activeCell="A33" sqref="A33"/>
    </sheetView>
  </sheetViews>
  <sheetFormatPr defaultColWidth="11.421875" defaultRowHeight="12.75"/>
  <cols>
    <col min="1" max="1" width="5.57421875" style="62" customWidth="1"/>
    <col min="2" max="16384" width="11.421875" style="62" customWidth="1"/>
  </cols>
  <sheetData>
    <row r="1" spans="1:10" ht="26.25">
      <c r="A1" s="63" t="s">
        <v>177</v>
      </c>
      <c r="B1" s="63"/>
      <c r="C1" s="63"/>
      <c r="D1" s="63"/>
      <c r="E1" s="63"/>
      <c r="F1" s="63"/>
      <c r="G1" s="63"/>
      <c r="H1" s="63"/>
      <c r="I1" s="63"/>
      <c r="J1" s="63"/>
    </row>
    <row r="2" spans="1:2" ht="23.25">
      <c r="A2" s="62">
        <v>1</v>
      </c>
      <c r="B2" s="61" t="s">
        <v>178</v>
      </c>
    </row>
    <row r="3" spans="1:7" ht="23.25">
      <c r="A3" s="62">
        <v>2</v>
      </c>
      <c r="B3" s="61" t="s">
        <v>416</v>
      </c>
      <c r="C3" s="61"/>
      <c r="D3" s="61"/>
      <c r="E3" s="61"/>
      <c r="F3" s="61"/>
      <c r="G3" s="61"/>
    </row>
    <row r="4" spans="1:4" ht="23.25">
      <c r="A4" s="62">
        <v>3</v>
      </c>
      <c r="B4" s="61" t="s">
        <v>415</v>
      </c>
      <c r="C4" s="61"/>
      <c r="D4" s="61"/>
    </row>
    <row r="5" spans="1:15" ht="23.25">
      <c r="A5" s="62">
        <v>4</v>
      </c>
      <c r="B5" s="61" t="s">
        <v>76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23.25">
      <c r="A6" s="62">
        <v>5</v>
      </c>
      <c r="B6" s="61" t="s">
        <v>25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23.25">
      <c r="A7" s="62">
        <v>6</v>
      </c>
      <c r="B7" s="61" t="s">
        <v>179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23.25">
      <c r="A8" s="62">
        <v>7</v>
      </c>
      <c r="B8" s="61" t="s">
        <v>417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23.25">
      <c r="A9" s="62">
        <v>8</v>
      </c>
      <c r="B9" s="61" t="s">
        <v>180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3.25">
      <c r="A10" s="62">
        <v>9</v>
      </c>
      <c r="B10" s="61" t="s">
        <v>81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23.25">
      <c r="A11" s="62">
        <v>10</v>
      </c>
      <c r="B11" s="61" t="s">
        <v>172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3" spans="1:10" ht="26.25">
      <c r="A13" s="63" t="s">
        <v>418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2" ht="23.25">
      <c r="A14" s="62">
        <v>1</v>
      </c>
      <c r="B14" s="61" t="s">
        <v>178</v>
      </c>
    </row>
    <row r="15" spans="1:3" ht="23.25">
      <c r="A15" s="62">
        <v>2</v>
      </c>
      <c r="B15" s="61" t="s">
        <v>180</v>
      </c>
      <c r="C15" s="61"/>
    </row>
    <row r="16" spans="1:2" ht="23.25">
      <c r="A16" s="62">
        <v>3</v>
      </c>
      <c r="B16" s="61" t="s">
        <v>76</v>
      </c>
    </row>
    <row r="17" spans="1:2" ht="23.25">
      <c r="A17" s="62">
        <v>4</v>
      </c>
      <c r="B17" s="61" t="s">
        <v>25</v>
      </c>
    </row>
    <row r="18" spans="1:2" ht="23.25">
      <c r="A18" s="62">
        <v>5</v>
      </c>
      <c r="B18" s="61" t="s">
        <v>81</v>
      </c>
    </row>
    <row r="19" spans="1:2" ht="23.25">
      <c r="A19" s="62">
        <v>6</v>
      </c>
      <c r="B19" s="61" t="s">
        <v>172</v>
      </c>
    </row>
    <row r="20" spans="1:2" ht="23.25">
      <c r="A20" s="62">
        <v>7</v>
      </c>
      <c r="B20" s="61" t="s">
        <v>179</v>
      </c>
    </row>
    <row r="21" spans="1:2" ht="23.25">
      <c r="A21" s="62">
        <v>8</v>
      </c>
      <c r="B21" s="61" t="s">
        <v>417</v>
      </c>
    </row>
    <row r="22" spans="1:4" ht="23.25">
      <c r="A22" s="62">
        <v>9</v>
      </c>
      <c r="B22" s="61" t="s">
        <v>415</v>
      </c>
      <c r="C22" s="61"/>
      <c r="D22" s="61"/>
    </row>
    <row r="23" spans="1:11" ht="23.25">
      <c r="A23" s="62">
        <v>10</v>
      </c>
      <c r="B23" s="61" t="s">
        <v>416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2:11" ht="23.25">
      <c r="B24" s="176" t="s">
        <v>419</v>
      </c>
      <c r="C24" s="61"/>
      <c r="D24" s="61"/>
      <c r="E24" s="61"/>
      <c r="F24" s="61"/>
      <c r="G24" s="61"/>
      <c r="H24" s="61"/>
      <c r="I24" s="61"/>
      <c r="J24" s="61"/>
      <c r="K24" s="61"/>
    </row>
  </sheetData>
  <printOptions/>
  <pageMargins left="0.75" right="0.75" top="1" bottom="1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26"/>
  <sheetViews>
    <sheetView showGridLines="0" zoomScale="75" zoomScaleNormal="75" workbookViewId="0" topLeftCell="A61">
      <selection activeCell="A61" sqref="A61"/>
    </sheetView>
  </sheetViews>
  <sheetFormatPr defaultColWidth="11.421875" defaultRowHeight="12.75"/>
  <cols>
    <col min="1" max="1" width="2.7109375" style="180" customWidth="1"/>
    <col min="2" max="3" width="15.421875" style="180" customWidth="1"/>
    <col min="4" max="4" width="15.57421875" style="180" customWidth="1"/>
    <col min="5" max="5" width="17.00390625" style="180" customWidth="1"/>
    <col min="6" max="6" width="2.7109375" style="180" customWidth="1"/>
    <col min="7" max="7" width="6.8515625" style="180" customWidth="1"/>
    <col min="8" max="16384" width="11.421875" style="180" customWidth="1"/>
  </cols>
  <sheetData>
    <row r="1" spans="1:6" ht="16.5" customHeight="1" thickBot="1">
      <c r="A1" s="177"/>
      <c r="B1" s="178"/>
      <c r="C1" s="178"/>
      <c r="D1" s="178"/>
      <c r="E1" s="178"/>
      <c r="F1" s="179"/>
    </row>
    <row r="2" spans="1:6" ht="12.75">
      <c r="A2" s="181"/>
      <c r="B2" s="554" t="s">
        <v>213</v>
      </c>
      <c r="C2" s="549"/>
      <c r="D2" s="549"/>
      <c r="E2" s="550"/>
      <c r="F2" s="182"/>
    </row>
    <row r="3" spans="1:6" ht="12.75">
      <c r="A3" s="181"/>
      <c r="B3" s="555" t="s">
        <v>209</v>
      </c>
      <c r="C3" s="556"/>
      <c r="D3" s="556"/>
      <c r="E3" s="557"/>
      <c r="F3" s="182"/>
    </row>
    <row r="4" spans="1:6" ht="12.75">
      <c r="A4" s="181"/>
      <c r="B4" s="555" t="s">
        <v>208</v>
      </c>
      <c r="C4" s="556"/>
      <c r="D4" s="556"/>
      <c r="E4" s="557"/>
      <c r="F4" s="182"/>
    </row>
    <row r="5" spans="1:6" ht="13.5" thickBot="1">
      <c r="A5" s="181"/>
      <c r="B5" s="196" t="s">
        <v>0</v>
      </c>
      <c r="C5" s="197"/>
      <c r="D5" s="197"/>
      <c r="E5" s="198"/>
      <c r="F5" s="182"/>
    </row>
    <row r="6" spans="1:6" ht="16.5" customHeight="1" thickBot="1">
      <c r="A6" s="181"/>
      <c r="B6" s="183"/>
      <c r="C6" s="183"/>
      <c r="D6" s="183"/>
      <c r="E6" s="183"/>
      <c r="F6" s="182"/>
    </row>
    <row r="7" spans="1:8" ht="24" customHeight="1">
      <c r="A7" s="181"/>
      <c r="B7" s="548" t="s">
        <v>75</v>
      </c>
      <c r="C7" s="549"/>
      <c r="D7" s="549"/>
      <c r="E7" s="550"/>
      <c r="F7" s="199"/>
      <c r="G7" s="200"/>
      <c r="H7" s="184"/>
    </row>
    <row r="8" spans="1:12" ht="28.5" customHeight="1" thickBot="1">
      <c r="A8" s="181"/>
      <c r="B8" s="551" t="s">
        <v>414</v>
      </c>
      <c r="C8" s="552"/>
      <c r="D8" s="552"/>
      <c r="E8" s="553"/>
      <c r="F8" s="199"/>
      <c r="G8" s="200"/>
      <c r="L8" s="185"/>
    </row>
    <row r="9" spans="1:7" ht="16.5" customHeight="1">
      <c r="A9" s="181"/>
      <c r="B9" s="186"/>
      <c r="C9" s="183"/>
      <c r="D9" s="183"/>
      <c r="E9" s="183"/>
      <c r="F9" s="199"/>
      <c r="G9" s="200"/>
    </row>
    <row r="10" spans="1:6" ht="16.5" customHeight="1" thickBot="1">
      <c r="A10" s="181"/>
      <c r="B10" s="183"/>
      <c r="C10" s="183"/>
      <c r="D10" s="183"/>
      <c r="E10" s="183"/>
      <c r="F10" s="182"/>
    </row>
    <row r="11" spans="1:6" s="189" customFormat="1" ht="29.25" customHeight="1" thickBot="1">
      <c r="A11" s="187"/>
      <c r="B11" s="545" t="s">
        <v>207</v>
      </c>
      <c r="C11" s="546"/>
      <c r="D11" s="546"/>
      <c r="E11" s="547"/>
      <c r="F11" s="188"/>
    </row>
    <row r="12" spans="1:6" ht="16.5" customHeight="1" thickBot="1">
      <c r="A12" s="181"/>
      <c r="B12" s="183"/>
      <c r="C12" s="183"/>
      <c r="D12" s="183"/>
      <c r="E12" s="183"/>
      <c r="F12" s="182"/>
    </row>
    <row r="13" spans="1:6" s="189" customFormat="1" ht="38.25" customHeight="1" thickBot="1">
      <c r="A13" s="187"/>
      <c r="B13" s="524" t="s">
        <v>214</v>
      </c>
      <c r="C13" s="525"/>
      <c r="D13" s="525"/>
      <c r="E13" s="526"/>
      <c r="F13" s="188"/>
    </row>
    <row r="14" spans="1:6" ht="16.5" customHeight="1" thickBot="1">
      <c r="A14" s="181"/>
      <c r="B14" s="190"/>
      <c r="C14" s="190"/>
      <c r="D14" s="190"/>
      <c r="E14" s="190"/>
      <c r="F14" s="182"/>
    </row>
    <row r="15" spans="1:6" ht="44.25" customHeight="1" thickBot="1">
      <c r="A15" s="181"/>
      <c r="B15" s="527" t="s">
        <v>215</v>
      </c>
      <c r="C15" s="528"/>
      <c r="D15" s="528"/>
      <c r="E15" s="529"/>
      <c r="F15" s="182"/>
    </row>
    <row r="16" spans="1:6" ht="16.5" customHeight="1" thickBot="1">
      <c r="A16" s="181"/>
      <c r="B16" s="183"/>
      <c r="C16" s="183"/>
      <c r="D16" s="183"/>
      <c r="E16" s="183"/>
      <c r="F16" s="191"/>
    </row>
    <row r="17" spans="1:6" ht="24" customHeight="1">
      <c r="A17" s="181"/>
      <c r="B17" s="530" t="s">
        <v>420</v>
      </c>
      <c r="C17" s="531"/>
      <c r="D17" s="531"/>
      <c r="E17" s="532"/>
      <c r="F17" s="182"/>
    </row>
    <row r="18" spans="1:6" ht="40.5" customHeight="1">
      <c r="A18" s="181"/>
      <c r="B18" s="536" t="s">
        <v>164</v>
      </c>
      <c r="C18" s="537"/>
      <c r="D18" s="537"/>
      <c r="E18" s="538"/>
      <c r="F18" s="182"/>
    </row>
    <row r="19" spans="1:6" ht="37.5" customHeight="1" thickBot="1">
      <c r="A19" s="181"/>
      <c r="B19" s="539" t="s">
        <v>168</v>
      </c>
      <c r="C19" s="540"/>
      <c r="D19" s="540"/>
      <c r="E19" s="541"/>
      <c r="F19" s="182"/>
    </row>
    <row r="20" spans="1:6" ht="16.5" customHeight="1">
      <c r="A20" s="181"/>
      <c r="B20" s="201"/>
      <c r="C20" s="183"/>
      <c r="D20" s="183"/>
      <c r="E20" s="183"/>
      <c r="F20" s="182"/>
    </row>
    <row r="21" spans="1:6" ht="16.5" customHeight="1" thickBot="1">
      <c r="A21" s="181"/>
      <c r="B21" s="183"/>
      <c r="C21" s="183"/>
      <c r="D21" s="183"/>
      <c r="E21" s="183"/>
      <c r="F21" s="182"/>
    </row>
    <row r="22" spans="1:6" ht="13.5" thickBot="1">
      <c r="A22" s="181"/>
      <c r="B22" s="542" t="s">
        <v>1</v>
      </c>
      <c r="C22" s="543"/>
      <c r="D22" s="543"/>
      <c r="E22" s="544"/>
      <c r="F22" s="182"/>
    </row>
    <row r="23" spans="1:6" ht="13.5" thickBot="1">
      <c r="A23" s="181"/>
      <c r="B23" s="202" t="s">
        <v>2</v>
      </c>
      <c r="C23" s="202" t="s">
        <v>3</v>
      </c>
      <c r="D23" s="202" t="s">
        <v>4</v>
      </c>
      <c r="E23" s="202" t="s">
        <v>5</v>
      </c>
      <c r="F23" s="182"/>
    </row>
    <row r="24" spans="1:6" ht="24" customHeight="1" thickBot="1">
      <c r="A24" s="181"/>
      <c r="B24" s="203">
        <v>50000</v>
      </c>
      <c r="C24" s="204" t="s">
        <v>6</v>
      </c>
      <c r="D24" s="205">
        <v>50000</v>
      </c>
      <c r="E24" s="205">
        <v>50000</v>
      </c>
      <c r="F24" s="182"/>
    </row>
    <row r="25" spans="1:6" ht="16.5" customHeight="1">
      <c r="A25" s="181"/>
      <c r="B25" s="183"/>
      <c r="C25" s="183"/>
      <c r="D25" s="183"/>
      <c r="E25" s="183"/>
      <c r="F25" s="182"/>
    </row>
    <row r="26" spans="1:6" ht="16.5" customHeight="1" thickBot="1">
      <c r="A26" s="194"/>
      <c r="B26" s="533" t="s">
        <v>70</v>
      </c>
      <c r="C26" s="534"/>
      <c r="D26" s="534"/>
      <c r="E26" s="535"/>
      <c r="F26" s="195"/>
    </row>
    <row r="27" ht="18" customHeight="1"/>
    <row r="28" ht="18" customHeight="1"/>
    <row r="29" ht="15" customHeight="1"/>
  </sheetData>
  <mergeCells count="13">
    <mergeCell ref="B11:E11"/>
    <mergeCell ref="B7:E7"/>
    <mergeCell ref="B8:E8"/>
    <mergeCell ref="B2:E2"/>
    <mergeCell ref="B3:E3"/>
    <mergeCell ref="B4:E4"/>
    <mergeCell ref="B13:E13"/>
    <mergeCell ref="B15:E15"/>
    <mergeCell ref="B17:E17"/>
    <mergeCell ref="B26:E26"/>
    <mergeCell ref="B18:E18"/>
    <mergeCell ref="B19:E19"/>
    <mergeCell ref="B22:E22"/>
  </mergeCells>
  <printOptions horizontalCentered="1" verticalCentered="1"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82"/>
  <sheetViews>
    <sheetView showGridLines="0" showZeros="0" workbookViewId="0" topLeftCell="A83">
      <selection activeCell="A83" sqref="A83"/>
    </sheetView>
  </sheetViews>
  <sheetFormatPr defaultColWidth="11.421875" defaultRowHeight="12.75"/>
  <cols>
    <col min="1" max="1" width="2.7109375" style="180" customWidth="1"/>
    <col min="2" max="2" width="19.28125" style="180" customWidth="1"/>
    <col min="3" max="3" width="11.140625" style="180" customWidth="1"/>
    <col min="4" max="4" width="11.7109375" style="180" customWidth="1"/>
    <col min="5" max="5" width="3.28125" style="180" customWidth="1"/>
    <col min="6" max="6" width="12.7109375" style="180" customWidth="1"/>
    <col min="7" max="7" width="3.8515625" style="180" customWidth="1"/>
    <col min="8" max="8" width="9.7109375" style="180" customWidth="1"/>
    <col min="9" max="9" width="3.421875" style="180" customWidth="1"/>
    <col min="10" max="10" width="9.00390625" style="180" customWidth="1"/>
    <col min="11" max="11" width="1.421875" style="180" customWidth="1"/>
    <col min="12" max="12" width="11.421875" style="180" customWidth="1"/>
    <col min="13" max="13" width="5.57421875" style="180" customWidth="1"/>
    <col min="14" max="14" width="10.28125" style="180" customWidth="1"/>
    <col min="15" max="15" width="4.00390625" style="180" customWidth="1"/>
    <col min="16" max="16" width="11.421875" style="180" customWidth="1"/>
    <col min="17" max="17" width="3.8515625" style="180" customWidth="1"/>
    <col min="18" max="16384" width="11.421875" style="180" customWidth="1"/>
  </cols>
  <sheetData>
    <row r="1" spans="1:11" ht="17.25" customHeight="1">
      <c r="A1" s="177"/>
      <c r="B1" s="178"/>
      <c r="C1" s="178"/>
      <c r="D1" s="178"/>
      <c r="E1" s="178"/>
      <c r="F1" s="178"/>
      <c r="G1" s="178"/>
      <c r="H1" s="178"/>
      <c r="I1" s="178"/>
      <c r="J1" s="417" t="s">
        <v>219</v>
      </c>
      <c r="K1" s="179"/>
    </row>
    <row r="2" spans="1:11" ht="19.5" thickBot="1">
      <c r="A2" s="181"/>
      <c r="B2" s="558" t="str">
        <f>CARAT!B11</f>
        <v>IMAGINATE S.R.L.</v>
      </c>
      <c r="C2" s="558"/>
      <c r="D2" s="558"/>
      <c r="E2" s="558"/>
      <c r="F2" s="558"/>
      <c r="G2" s="558"/>
      <c r="H2" s="558"/>
      <c r="I2" s="558"/>
      <c r="J2" s="558"/>
      <c r="K2" s="182"/>
    </row>
    <row r="3" spans="1:11" s="193" customFormat="1" ht="13.5" customHeight="1">
      <c r="A3" s="225"/>
      <c r="B3" s="559" t="s">
        <v>80</v>
      </c>
      <c r="C3" s="560"/>
      <c r="D3" s="560"/>
      <c r="E3" s="560"/>
      <c r="F3" s="560"/>
      <c r="G3" s="560"/>
      <c r="H3" s="560"/>
      <c r="I3" s="560"/>
      <c r="J3" s="561"/>
      <c r="K3" s="192"/>
    </row>
    <row r="4" spans="1:11" s="193" customFormat="1" ht="13.5" customHeight="1">
      <c r="A4" s="225"/>
      <c r="B4" s="562" t="s">
        <v>79</v>
      </c>
      <c r="C4" s="563"/>
      <c r="D4" s="563"/>
      <c r="E4" s="563"/>
      <c r="F4" s="563"/>
      <c r="G4" s="563"/>
      <c r="H4" s="563"/>
      <c r="I4" s="563"/>
      <c r="J4" s="564"/>
      <c r="K4" s="192"/>
    </row>
    <row r="5" spans="1:11" s="193" customFormat="1" ht="13.5" customHeight="1">
      <c r="A5" s="225"/>
      <c r="B5" s="562" t="s">
        <v>210</v>
      </c>
      <c r="C5" s="563"/>
      <c r="D5" s="563"/>
      <c r="E5" s="563"/>
      <c r="F5" s="563"/>
      <c r="G5" s="563"/>
      <c r="H5" s="563"/>
      <c r="I5" s="563"/>
      <c r="J5" s="564"/>
      <c r="K5" s="192"/>
    </row>
    <row r="6" spans="1:11" s="193" customFormat="1" ht="13.5" customHeight="1" thickBot="1">
      <c r="A6" s="225"/>
      <c r="B6" s="568" t="s">
        <v>78</v>
      </c>
      <c r="C6" s="569"/>
      <c r="D6" s="569"/>
      <c r="E6" s="569"/>
      <c r="F6" s="569"/>
      <c r="G6" s="569"/>
      <c r="H6" s="569"/>
      <c r="I6" s="569"/>
      <c r="J6" s="570"/>
      <c r="K6" s="192"/>
    </row>
    <row r="7" spans="1:11" ht="15" customHeight="1" thickBot="1">
      <c r="A7" s="181"/>
      <c r="B7" s="183"/>
      <c r="C7" s="183"/>
      <c r="D7" s="183"/>
      <c r="E7" s="183"/>
      <c r="F7" s="183"/>
      <c r="G7" s="183"/>
      <c r="H7" s="183"/>
      <c r="I7" s="183"/>
      <c r="J7" s="183"/>
      <c r="K7" s="182"/>
    </row>
    <row r="8" spans="1:19" s="431" customFormat="1" ht="36.75" customHeight="1" thickBot="1">
      <c r="A8" s="434"/>
      <c r="B8" s="435" t="s">
        <v>41</v>
      </c>
      <c r="C8" s="571" t="s">
        <v>71</v>
      </c>
      <c r="D8" s="571" t="s">
        <v>126</v>
      </c>
      <c r="E8" s="436" t="s">
        <v>462</v>
      </c>
      <c r="F8" s="442"/>
      <c r="G8" s="436" t="s">
        <v>58</v>
      </c>
      <c r="H8" s="436"/>
      <c r="I8" s="436" t="s">
        <v>59</v>
      </c>
      <c r="J8" s="436"/>
      <c r="K8" s="437"/>
      <c r="M8" s="438"/>
      <c r="N8" s="438"/>
      <c r="O8" s="438"/>
      <c r="P8" s="438"/>
      <c r="Q8" s="438"/>
      <c r="R8" s="438"/>
      <c r="S8" s="438"/>
    </row>
    <row r="9" spans="1:19" s="431" customFormat="1" ht="15" customHeight="1" thickBot="1">
      <c r="A9" s="434"/>
      <c r="B9" s="439"/>
      <c r="C9" s="572"/>
      <c r="D9" s="572"/>
      <c r="E9" s="440" t="s">
        <v>60</v>
      </c>
      <c r="F9" s="441" t="s">
        <v>61</v>
      </c>
      <c r="G9" s="440" t="s">
        <v>60</v>
      </c>
      <c r="H9" s="441" t="s">
        <v>61</v>
      </c>
      <c r="I9" s="440" t="s">
        <v>60</v>
      </c>
      <c r="J9" s="441" t="s">
        <v>61</v>
      </c>
      <c r="K9" s="437"/>
      <c r="M9" s="438"/>
      <c r="N9" s="438"/>
      <c r="O9" s="438"/>
      <c r="P9" s="438"/>
      <c r="Q9" s="438"/>
      <c r="R9" s="438"/>
      <c r="S9" s="438"/>
    </row>
    <row r="10" spans="1:19" ht="29.25" customHeight="1">
      <c r="A10" s="181"/>
      <c r="B10" s="443" t="s">
        <v>188</v>
      </c>
      <c r="C10" s="392">
        <v>1800</v>
      </c>
      <c r="D10" s="418">
        <v>1800</v>
      </c>
      <c r="E10" s="419">
        <v>50</v>
      </c>
      <c r="F10" s="392">
        <f>ROUND(($C10*E10/100),2)</f>
        <v>900</v>
      </c>
      <c r="G10" s="419">
        <v>50</v>
      </c>
      <c r="H10" s="392">
        <f aca="true" t="shared" si="0" ref="H10:H29">ROUND(($C10*G10/100),2)</f>
        <v>900</v>
      </c>
      <c r="I10" s="419">
        <v>0</v>
      </c>
      <c r="J10" s="392">
        <f aca="true" t="shared" si="1" ref="J10:J29">ROUND(($C10*I10/100),2)</f>
        <v>0</v>
      </c>
      <c r="K10" s="182"/>
      <c r="M10" s="336"/>
      <c r="N10" s="336"/>
      <c r="O10" s="336"/>
      <c r="P10" s="336"/>
      <c r="Q10" s="336"/>
      <c r="R10" s="336"/>
      <c r="S10" s="336"/>
    </row>
    <row r="11" spans="1:19" ht="29.25" customHeight="1">
      <c r="A11" s="181"/>
      <c r="B11" s="443" t="s">
        <v>189</v>
      </c>
      <c r="C11" s="392">
        <v>40.5</v>
      </c>
      <c r="D11" s="418">
        <v>40.5</v>
      </c>
      <c r="E11" s="419">
        <v>0</v>
      </c>
      <c r="F11" s="392">
        <f aca="true" t="shared" si="2" ref="F11:F28">ROUND(($C11*E11/100),2)</f>
        <v>0</v>
      </c>
      <c r="G11" s="419">
        <v>100</v>
      </c>
      <c r="H11" s="392">
        <f t="shared" si="0"/>
        <v>40.5</v>
      </c>
      <c r="I11" s="419">
        <v>0</v>
      </c>
      <c r="J11" s="392">
        <f t="shared" si="1"/>
        <v>0</v>
      </c>
      <c r="K11" s="182"/>
      <c r="M11" s="336"/>
      <c r="N11" s="336"/>
      <c r="O11" s="336"/>
      <c r="P11" s="336"/>
      <c r="Q11" s="336"/>
      <c r="R11" s="336"/>
      <c r="S11" s="336"/>
    </row>
    <row r="12" spans="1:19" ht="29.25" customHeight="1">
      <c r="A12" s="181"/>
      <c r="B12" s="443" t="s">
        <v>190</v>
      </c>
      <c r="C12" s="392">
        <v>775</v>
      </c>
      <c r="D12" s="418">
        <f>387.5*2</f>
        <v>775</v>
      </c>
      <c r="E12" s="419">
        <v>50</v>
      </c>
      <c r="F12" s="392">
        <f t="shared" si="2"/>
        <v>387.5</v>
      </c>
      <c r="G12" s="419">
        <v>50</v>
      </c>
      <c r="H12" s="392">
        <f t="shared" si="0"/>
        <v>387.5</v>
      </c>
      <c r="I12" s="419">
        <v>0</v>
      </c>
      <c r="J12" s="392">
        <f t="shared" si="1"/>
        <v>0</v>
      </c>
      <c r="K12" s="182"/>
      <c r="M12" s="336"/>
      <c r="N12" s="336"/>
      <c r="O12" s="336"/>
      <c r="P12" s="336"/>
      <c r="Q12" s="336"/>
      <c r="R12" s="336"/>
      <c r="S12" s="336"/>
    </row>
    <row r="13" spans="1:19" ht="17.25" customHeight="1">
      <c r="A13" s="181"/>
      <c r="B13" s="443" t="s">
        <v>191</v>
      </c>
      <c r="C13" s="392">
        <v>9200</v>
      </c>
      <c r="D13" s="392">
        <v>12000</v>
      </c>
      <c r="E13" s="419">
        <v>30</v>
      </c>
      <c r="F13" s="392">
        <f t="shared" si="2"/>
        <v>2760</v>
      </c>
      <c r="G13" s="419">
        <v>70</v>
      </c>
      <c r="H13" s="392">
        <f t="shared" si="0"/>
        <v>6440</v>
      </c>
      <c r="I13" s="419">
        <v>0</v>
      </c>
      <c r="J13" s="392">
        <f t="shared" si="1"/>
        <v>0</v>
      </c>
      <c r="K13" s="182"/>
      <c r="L13" s="420"/>
      <c r="M13" s="336"/>
      <c r="N13" s="336"/>
      <c r="O13" s="336"/>
      <c r="P13" s="336"/>
      <c r="Q13" s="336"/>
      <c r="R13" s="336"/>
      <c r="S13" s="336"/>
    </row>
    <row r="14" spans="1:19" ht="29.25" customHeight="1">
      <c r="A14" s="181"/>
      <c r="B14" s="443" t="s">
        <v>192</v>
      </c>
      <c r="C14" s="392">
        <v>2426.67</v>
      </c>
      <c r="D14" s="392">
        <v>2426.67</v>
      </c>
      <c r="E14" s="419">
        <v>70</v>
      </c>
      <c r="F14" s="392">
        <f t="shared" si="2"/>
        <v>1698.67</v>
      </c>
      <c r="G14" s="419">
        <v>30</v>
      </c>
      <c r="H14" s="392">
        <f t="shared" si="0"/>
        <v>728</v>
      </c>
      <c r="I14" s="419">
        <v>0</v>
      </c>
      <c r="J14" s="392">
        <f t="shared" si="1"/>
        <v>0</v>
      </c>
      <c r="K14" s="182"/>
      <c r="L14" s="420"/>
      <c r="M14" s="336"/>
      <c r="N14" s="336"/>
      <c r="O14" s="336"/>
      <c r="P14" s="336"/>
      <c r="Q14" s="336"/>
      <c r="R14" s="336"/>
      <c r="S14" s="336"/>
    </row>
    <row r="15" spans="1:19" ht="18" customHeight="1">
      <c r="A15" s="181"/>
      <c r="B15" s="443" t="s">
        <v>193</v>
      </c>
      <c r="C15" s="392">
        <v>880.98</v>
      </c>
      <c r="D15" s="392">
        <v>900</v>
      </c>
      <c r="E15" s="419"/>
      <c r="F15" s="392">
        <f t="shared" si="2"/>
        <v>0</v>
      </c>
      <c r="G15" s="419"/>
      <c r="H15" s="392">
        <f t="shared" si="0"/>
        <v>0</v>
      </c>
      <c r="I15" s="419">
        <v>100</v>
      </c>
      <c r="J15" s="392">
        <f t="shared" si="1"/>
        <v>880.98</v>
      </c>
      <c r="K15" s="182"/>
      <c r="L15" s="420"/>
      <c r="M15" s="336"/>
      <c r="N15" s="336"/>
      <c r="O15" s="336"/>
      <c r="P15" s="336"/>
      <c r="Q15" s="336"/>
      <c r="R15" s="336"/>
      <c r="S15" s="336"/>
    </row>
    <row r="16" spans="1:19" ht="17.25" customHeight="1">
      <c r="A16" s="181"/>
      <c r="B16" s="443" t="s">
        <v>194</v>
      </c>
      <c r="C16" s="392">
        <v>4128.75</v>
      </c>
      <c r="D16" s="392">
        <v>4500</v>
      </c>
      <c r="E16" s="419">
        <v>30</v>
      </c>
      <c r="F16" s="392">
        <f>ROUND(($C16*E16/100),2)-0.01</f>
        <v>1238.6200000000001</v>
      </c>
      <c r="G16" s="419">
        <v>70</v>
      </c>
      <c r="H16" s="392">
        <f t="shared" si="0"/>
        <v>2890.13</v>
      </c>
      <c r="I16" s="419">
        <v>0</v>
      </c>
      <c r="J16" s="392">
        <f t="shared" si="1"/>
        <v>0</v>
      </c>
      <c r="K16" s="182"/>
      <c r="M16" s="336"/>
      <c r="N16" s="336"/>
      <c r="O16" s="336"/>
      <c r="P16" s="336"/>
      <c r="Q16" s="336"/>
      <c r="R16" s="336"/>
      <c r="S16" s="336"/>
    </row>
    <row r="17" spans="1:19" ht="29.25" customHeight="1">
      <c r="A17" s="181"/>
      <c r="B17" s="443" t="s">
        <v>195</v>
      </c>
      <c r="C17" s="392">
        <v>2099.6</v>
      </c>
      <c r="D17" s="392">
        <v>0</v>
      </c>
      <c r="E17" s="419">
        <v>80</v>
      </c>
      <c r="F17" s="392">
        <f t="shared" si="2"/>
        <v>1679.68</v>
      </c>
      <c r="G17" s="419">
        <v>20</v>
      </c>
      <c r="H17" s="392">
        <f t="shared" si="0"/>
        <v>419.92</v>
      </c>
      <c r="I17" s="419">
        <v>0</v>
      </c>
      <c r="J17" s="392">
        <f t="shared" si="1"/>
        <v>0</v>
      </c>
      <c r="K17" s="182"/>
      <c r="M17" s="336"/>
      <c r="N17" s="336"/>
      <c r="O17" s="336"/>
      <c r="P17" s="336"/>
      <c r="Q17" s="336"/>
      <c r="R17" s="336"/>
      <c r="S17" s="336"/>
    </row>
    <row r="18" spans="1:19" ht="29.25" customHeight="1">
      <c r="A18" s="181"/>
      <c r="B18" s="443" t="s">
        <v>196</v>
      </c>
      <c r="C18" s="392">
        <v>1684.45</v>
      </c>
      <c r="D18" s="392">
        <v>1500</v>
      </c>
      <c r="E18" s="419">
        <v>100</v>
      </c>
      <c r="F18" s="392">
        <f t="shared" si="2"/>
        <v>1684.45</v>
      </c>
      <c r="G18" s="419">
        <v>0</v>
      </c>
      <c r="H18" s="392">
        <f t="shared" si="0"/>
        <v>0</v>
      </c>
      <c r="I18" s="419">
        <v>0</v>
      </c>
      <c r="J18" s="392">
        <f t="shared" si="1"/>
        <v>0</v>
      </c>
      <c r="K18" s="182"/>
      <c r="M18" s="336"/>
      <c r="N18" s="336"/>
      <c r="O18" s="336"/>
      <c r="P18" s="336"/>
      <c r="Q18" s="336"/>
      <c r="R18" s="336"/>
      <c r="S18" s="336"/>
    </row>
    <row r="19" spans="1:19" ht="29.25" customHeight="1">
      <c r="A19" s="181"/>
      <c r="B19" s="443" t="s">
        <v>197</v>
      </c>
      <c r="C19" s="392">
        <v>400</v>
      </c>
      <c r="D19" s="392">
        <v>0</v>
      </c>
      <c r="E19" s="419">
        <v>0</v>
      </c>
      <c r="F19" s="392">
        <f t="shared" si="2"/>
        <v>0</v>
      </c>
      <c r="G19" s="419">
        <v>100</v>
      </c>
      <c r="H19" s="392">
        <f t="shared" si="0"/>
        <v>400</v>
      </c>
      <c r="I19" s="419">
        <v>0</v>
      </c>
      <c r="J19" s="392">
        <f t="shared" si="1"/>
        <v>0</v>
      </c>
      <c r="K19" s="182"/>
      <c r="M19" s="336"/>
      <c r="N19" s="336"/>
      <c r="O19" s="336"/>
      <c r="P19" s="336"/>
      <c r="Q19" s="336"/>
      <c r="R19" s="336"/>
      <c r="S19" s="336"/>
    </row>
    <row r="20" spans="1:19" ht="17.25" customHeight="1">
      <c r="A20" s="181"/>
      <c r="B20" s="443" t="s">
        <v>198</v>
      </c>
      <c r="C20" s="392">
        <v>1717.6</v>
      </c>
      <c r="D20" s="392">
        <v>1900</v>
      </c>
      <c r="E20" s="419">
        <v>60</v>
      </c>
      <c r="F20" s="392">
        <f t="shared" si="2"/>
        <v>1030.56</v>
      </c>
      <c r="G20" s="419">
        <v>40</v>
      </c>
      <c r="H20" s="392">
        <f t="shared" si="0"/>
        <v>687.04</v>
      </c>
      <c r="I20" s="419">
        <v>0</v>
      </c>
      <c r="J20" s="392">
        <f t="shared" si="1"/>
        <v>0</v>
      </c>
      <c r="K20" s="182"/>
      <c r="M20" s="336"/>
      <c r="N20" s="336"/>
      <c r="O20" s="336"/>
      <c r="P20" s="336"/>
      <c r="Q20" s="336"/>
      <c r="R20" s="336"/>
      <c r="S20" s="336"/>
    </row>
    <row r="21" spans="1:19" ht="29.25" customHeight="1">
      <c r="A21" s="181"/>
      <c r="B21" s="443" t="s">
        <v>199</v>
      </c>
      <c r="C21" s="392">
        <v>2108</v>
      </c>
      <c r="D21" s="392">
        <v>2500</v>
      </c>
      <c r="E21" s="419">
        <v>100</v>
      </c>
      <c r="F21" s="392">
        <f t="shared" si="2"/>
        <v>2108</v>
      </c>
      <c r="G21" s="419">
        <v>0</v>
      </c>
      <c r="H21" s="392">
        <f t="shared" si="0"/>
        <v>0</v>
      </c>
      <c r="I21" s="419">
        <v>0</v>
      </c>
      <c r="J21" s="392">
        <f t="shared" si="1"/>
        <v>0</v>
      </c>
      <c r="K21" s="182"/>
      <c r="M21" s="336"/>
      <c r="N21" s="336"/>
      <c r="O21" s="336"/>
      <c r="P21" s="336"/>
      <c r="Q21" s="336"/>
      <c r="R21" s="336"/>
      <c r="S21" s="336"/>
    </row>
    <row r="22" spans="1:19" ht="15.75" customHeight="1">
      <c r="A22" s="181"/>
      <c r="B22" s="443" t="s">
        <v>200</v>
      </c>
      <c r="C22" s="392">
        <v>5072.5</v>
      </c>
      <c r="D22" s="392">
        <v>7000</v>
      </c>
      <c r="E22" s="419">
        <v>100</v>
      </c>
      <c r="F22" s="392">
        <f t="shared" si="2"/>
        <v>5072.5</v>
      </c>
      <c r="G22" s="419">
        <v>0</v>
      </c>
      <c r="H22" s="392">
        <f t="shared" si="0"/>
        <v>0</v>
      </c>
      <c r="I22" s="419">
        <v>0</v>
      </c>
      <c r="J22" s="392">
        <f t="shared" si="1"/>
        <v>0</v>
      </c>
      <c r="K22" s="182"/>
      <c r="M22" s="336"/>
      <c r="N22" s="336"/>
      <c r="O22" s="336"/>
      <c r="P22" s="336"/>
      <c r="Q22" s="336"/>
      <c r="R22" s="336"/>
      <c r="S22" s="336"/>
    </row>
    <row r="23" spans="1:19" ht="29.25" customHeight="1">
      <c r="A23" s="181"/>
      <c r="B23" s="443" t="s">
        <v>201</v>
      </c>
      <c r="C23" s="392">
        <v>1700.9</v>
      </c>
      <c r="D23" s="392">
        <v>1600</v>
      </c>
      <c r="E23" s="419">
        <v>80</v>
      </c>
      <c r="F23" s="392">
        <f t="shared" si="2"/>
        <v>1360.72</v>
      </c>
      <c r="G23" s="419">
        <v>20</v>
      </c>
      <c r="H23" s="392">
        <f t="shared" si="0"/>
        <v>340.18</v>
      </c>
      <c r="I23" s="419">
        <v>0</v>
      </c>
      <c r="J23" s="392">
        <f t="shared" si="1"/>
        <v>0</v>
      </c>
      <c r="K23" s="182"/>
      <c r="M23" s="336"/>
      <c r="N23" s="336"/>
      <c r="O23" s="336"/>
      <c r="P23" s="336"/>
      <c r="Q23" s="336"/>
      <c r="R23" s="336"/>
      <c r="S23" s="336"/>
    </row>
    <row r="24" spans="1:19" ht="29.25" customHeight="1">
      <c r="A24" s="181"/>
      <c r="B24" s="443" t="s">
        <v>202</v>
      </c>
      <c r="C24" s="392">
        <v>10352.9</v>
      </c>
      <c r="D24" s="392">
        <v>10136</v>
      </c>
      <c r="E24" s="419">
        <v>0</v>
      </c>
      <c r="F24" s="392">
        <f t="shared" si="2"/>
        <v>0</v>
      </c>
      <c r="G24" s="419">
        <v>100</v>
      </c>
      <c r="H24" s="392">
        <f t="shared" si="0"/>
        <v>10352.9</v>
      </c>
      <c r="I24" s="419">
        <v>0</v>
      </c>
      <c r="J24" s="392">
        <f t="shared" si="1"/>
        <v>0</v>
      </c>
      <c r="K24" s="182"/>
      <c r="M24" s="336"/>
      <c r="N24" s="336"/>
      <c r="O24" s="336"/>
      <c r="P24" s="336"/>
      <c r="Q24" s="336"/>
      <c r="R24" s="336"/>
      <c r="S24" s="336"/>
    </row>
    <row r="25" spans="1:19" ht="29.25" customHeight="1">
      <c r="A25" s="181"/>
      <c r="B25" s="443" t="s">
        <v>203</v>
      </c>
      <c r="C25" s="392">
        <v>1230</v>
      </c>
      <c r="D25" s="392">
        <v>860</v>
      </c>
      <c r="E25" s="419">
        <v>60</v>
      </c>
      <c r="F25" s="392">
        <f t="shared" si="2"/>
        <v>738</v>
      </c>
      <c r="G25" s="419">
        <v>40</v>
      </c>
      <c r="H25" s="392">
        <f t="shared" si="0"/>
        <v>492</v>
      </c>
      <c r="I25" s="419">
        <v>0</v>
      </c>
      <c r="J25" s="392">
        <f t="shared" si="1"/>
        <v>0</v>
      </c>
      <c r="K25" s="182"/>
      <c r="M25" s="336"/>
      <c r="N25" s="336"/>
      <c r="O25" s="336"/>
      <c r="P25" s="336"/>
      <c r="Q25" s="336"/>
      <c r="R25" s="336"/>
      <c r="S25" s="336"/>
    </row>
    <row r="26" spans="1:19" ht="18" customHeight="1">
      <c r="A26" s="181"/>
      <c r="B26" s="443" t="s">
        <v>204</v>
      </c>
      <c r="C26" s="392">
        <v>4212.8</v>
      </c>
      <c r="D26" s="392">
        <v>3400</v>
      </c>
      <c r="E26" s="419">
        <v>10</v>
      </c>
      <c r="F26" s="392">
        <f t="shared" si="2"/>
        <v>421.28</v>
      </c>
      <c r="G26" s="419">
        <v>90</v>
      </c>
      <c r="H26" s="392">
        <f t="shared" si="0"/>
        <v>3791.52</v>
      </c>
      <c r="I26" s="419">
        <v>0</v>
      </c>
      <c r="J26" s="392"/>
      <c r="K26" s="182"/>
      <c r="M26" s="336"/>
      <c r="N26" s="336"/>
      <c r="O26" s="336"/>
      <c r="P26" s="336"/>
      <c r="Q26" s="336"/>
      <c r="R26" s="336"/>
      <c r="S26" s="336"/>
    </row>
    <row r="27" spans="1:19" ht="15" customHeight="1">
      <c r="A27" s="181"/>
      <c r="B27" s="443" t="s">
        <v>205</v>
      </c>
      <c r="C27" s="392">
        <v>6839.1</v>
      </c>
      <c r="D27" s="392">
        <v>0</v>
      </c>
      <c r="E27" s="419">
        <v>80</v>
      </c>
      <c r="F27" s="392">
        <f t="shared" si="2"/>
        <v>5471.28</v>
      </c>
      <c r="G27" s="419">
        <v>20</v>
      </c>
      <c r="H27" s="392">
        <f t="shared" si="0"/>
        <v>1367.82</v>
      </c>
      <c r="I27" s="419">
        <v>0</v>
      </c>
      <c r="J27" s="392">
        <f t="shared" si="1"/>
        <v>0</v>
      </c>
      <c r="K27" s="182"/>
      <c r="M27" s="336"/>
      <c r="N27" s="336"/>
      <c r="O27" s="336"/>
      <c r="P27" s="336"/>
      <c r="Q27" s="336"/>
      <c r="R27" s="336"/>
      <c r="S27" s="336"/>
    </row>
    <row r="28" spans="1:19" ht="16.5" customHeight="1">
      <c r="A28" s="181"/>
      <c r="B28" s="443" t="s">
        <v>206</v>
      </c>
      <c r="C28" s="392">
        <v>1167.7</v>
      </c>
      <c r="D28" s="392">
        <v>0</v>
      </c>
      <c r="E28" s="419">
        <v>50</v>
      </c>
      <c r="F28" s="392">
        <f t="shared" si="2"/>
        <v>583.85</v>
      </c>
      <c r="G28" s="419">
        <v>50</v>
      </c>
      <c r="H28" s="392">
        <f t="shared" si="0"/>
        <v>583.85</v>
      </c>
      <c r="I28" s="419">
        <v>0</v>
      </c>
      <c r="J28" s="392">
        <f t="shared" si="1"/>
        <v>0</v>
      </c>
      <c r="K28" s="182"/>
      <c r="M28" s="336"/>
      <c r="N28" s="336"/>
      <c r="O28" s="336"/>
      <c r="P28" s="336"/>
      <c r="Q28" s="336"/>
      <c r="R28" s="336"/>
      <c r="S28" s="336"/>
    </row>
    <row r="29" spans="1:19" ht="12" customHeight="1" thickBot="1">
      <c r="A29" s="181"/>
      <c r="B29" s="239"/>
      <c r="C29" s="392">
        <v>0</v>
      </c>
      <c r="D29" s="392">
        <v>0</v>
      </c>
      <c r="E29" s="421"/>
      <c r="F29" s="392">
        <f>ROUND(($C29*E29/100),2)</f>
        <v>0</v>
      </c>
      <c r="G29" s="419">
        <v>0</v>
      </c>
      <c r="H29" s="392">
        <f t="shared" si="0"/>
        <v>0</v>
      </c>
      <c r="I29" s="419">
        <v>0</v>
      </c>
      <c r="J29" s="392">
        <f t="shared" si="1"/>
        <v>0</v>
      </c>
      <c r="K29" s="182"/>
      <c r="M29" s="336"/>
      <c r="N29" s="336"/>
      <c r="O29" s="336"/>
      <c r="P29" s="336"/>
      <c r="Q29" s="336"/>
      <c r="R29" s="336"/>
      <c r="S29" s="336"/>
    </row>
    <row r="30" spans="1:19" ht="29.25" customHeight="1" thickBot="1">
      <c r="A30" s="181"/>
      <c r="B30" s="422" t="s">
        <v>62</v>
      </c>
      <c r="C30" s="416">
        <f>SUM(C10:C29)</f>
        <v>57837.45</v>
      </c>
      <c r="D30" s="416">
        <f>SUM(D10:D29)</f>
        <v>51338.17</v>
      </c>
      <c r="E30" s="423"/>
      <c r="F30" s="416">
        <f>SUM(F10:F29)</f>
        <v>27135.109999999997</v>
      </c>
      <c r="G30" s="424"/>
      <c r="H30" s="416">
        <f>SUM(H10:H29)</f>
        <v>29821.359999999997</v>
      </c>
      <c r="I30" s="424"/>
      <c r="J30" s="416">
        <f>SUM(J10:J29)</f>
        <v>880.98</v>
      </c>
      <c r="K30" s="182"/>
      <c r="M30" s="336"/>
      <c r="N30" s="336"/>
      <c r="O30" s="336"/>
      <c r="P30" s="336"/>
      <c r="Q30" s="336"/>
      <c r="R30" s="336"/>
      <c r="S30" s="336"/>
    </row>
    <row r="31" spans="1:19" ht="15" customHeight="1">
      <c r="A31" s="181"/>
      <c r="B31" s="425"/>
      <c r="C31" s="228"/>
      <c r="D31" s="426"/>
      <c r="E31" s="425"/>
      <c r="F31" s="426">
        <f>SUM(F30:J30)-C30</f>
        <v>0</v>
      </c>
      <c r="G31" s="425"/>
      <c r="H31" s="426"/>
      <c r="I31" s="425"/>
      <c r="J31" s="426"/>
      <c r="K31" s="182"/>
      <c r="M31" s="336"/>
      <c r="N31" s="336"/>
      <c r="O31" s="336"/>
      <c r="P31" s="336"/>
      <c r="Q31" s="336"/>
      <c r="R31" s="336"/>
      <c r="S31" s="336"/>
    </row>
    <row r="32" spans="1:19" ht="15" customHeight="1">
      <c r="A32" s="181"/>
      <c r="B32" s="183"/>
      <c r="C32" s="183"/>
      <c r="D32" s="425"/>
      <c r="E32" s="425"/>
      <c r="F32" s="426"/>
      <c r="G32" s="425"/>
      <c r="H32" s="426"/>
      <c r="I32" s="425"/>
      <c r="J32" s="426"/>
      <c r="K32" s="182"/>
      <c r="M32" s="336"/>
      <c r="N32" s="336"/>
      <c r="O32" s="336"/>
      <c r="P32" s="336"/>
      <c r="Q32" s="336"/>
      <c r="R32" s="336"/>
      <c r="S32" s="336"/>
    </row>
    <row r="33" spans="1:19" ht="15" customHeight="1">
      <c r="A33" s="181"/>
      <c r="B33" s="565" t="s">
        <v>70</v>
      </c>
      <c r="C33" s="566"/>
      <c r="D33" s="566"/>
      <c r="E33" s="566"/>
      <c r="F33" s="566"/>
      <c r="G33" s="566"/>
      <c r="H33" s="566"/>
      <c r="I33" s="566"/>
      <c r="J33" s="567"/>
      <c r="K33" s="182"/>
      <c r="M33" s="336"/>
      <c r="N33" s="336"/>
      <c r="O33" s="336"/>
      <c r="P33" s="336"/>
      <c r="Q33" s="336"/>
      <c r="R33" s="336"/>
      <c r="S33" s="336"/>
    </row>
    <row r="34" spans="1:19" ht="15" customHeight="1" thickBot="1">
      <c r="A34" s="194"/>
      <c r="B34" s="427"/>
      <c r="C34" s="427"/>
      <c r="D34" s="428"/>
      <c r="E34" s="428"/>
      <c r="F34" s="429"/>
      <c r="G34" s="428"/>
      <c r="H34" s="429"/>
      <c r="I34" s="428"/>
      <c r="J34" s="429"/>
      <c r="K34" s="430"/>
      <c r="M34" s="336"/>
      <c r="N34" s="336"/>
      <c r="O34" s="336"/>
      <c r="P34" s="336"/>
      <c r="Q34" s="336"/>
      <c r="R34" s="336"/>
      <c r="S34" s="336"/>
    </row>
    <row r="35" spans="4:19" ht="12" customHeight="1">
      <c r="D35" s="431"/>
      <c r="E35" s="431"/>
      <c r="F35" s="432"/>
      <c r="G35" s="431"/>
      <c r="H35" s="431"/>
      <c r="I35" s="431"/>
      <c r="J35" s="432"/>
      <c r="M35" s="336"/>
      <c r="N35" s="336"/>
      <c r="O35" s="336"/>
      <c r="P35" s="336"/>
      <c r="Q35" s="336"/>
      <c r="R35" s="336"/>
      <c r="S35" s="336"/>
    </row>
    <row r="36" spans="4:19" ht="12" customHeight="1">
      <c r="D36" s="431"/>
      <c r="E36" s="431"/>
      <c r="F36" s="432"/>
      <c r="G36" s="431"/>
      <c r="H36" s="431"/>
      <c r="I36" s="431"/>
      <c r="J36" s="432"/>
      <c r="M36" s="336"/>
      <c r="N36" s="336"/>
      <c r="O36" s="336"/>
      <c r="P36" s="336"/>
      <c r="Q36" s="336"/>
      <c r="R36" s="336"/>
      <c r="S36" s="336"/>
    </row>
    <row r="37" spans="4:19" ht="12" customHeight="1">
      <c r="D37" s="433"/>
      <c r="E37" s="431"/>
      <c r="F37" s="432"/>
      <c r="G37" s="431"/>
      <c r="H37" s="431"/>
      <c r="I37" s="431"/>
      <c r="J37" s="432"/>
      <c r="M37" s="336"/>
      <c r="N37" s="336"/>
      <c r="O37" s="336"/>
      <c r="P37" s="336"/>
      <c r="Q37" s="336"/>
      <c r="R37" s="336"/>
      <c r="S37" s="336"/>
    </row>
    <row r="38" spans="4:10" ht="12" customHeight="1">
      <c r="D38" s="431"/>
      <c r="E38" s="431"/>
      <c r="F38" s="432"/>
      <c r="G38" s="431"/>
      <c r="H38" s="431"/>
      <c r="I38" s="431"/>
      <c r="J38" s="431"/>
    </row>
    <row r="39" spans="4:10" ht="12" customHeight="1">
      <c r="D39" s="431"/>
      <c r="E39" s="431"/>
      <c r="F39" s="432"/>
      <c r="G39" s="431"/>
      <c r="H39" s="431"/>
      <c r="I39" s="431"/>
      <c r="J39" s="431"/>
    </row>
    <row r="40" spans="4:10" ht="12" customHeight="1">
      <c r="D40" s="431"/>
      <c r="E40" s="431"/>
      <c r="F40" s="432"/>
      <c r="G40" s="431"/>
      <c r="H40" s="431"/>
      <c r="I40" s="431"/>
      <c r="J40" s="431"/>
    </row>
    <row r="41" ht="12" customHeight="1">
      <c r="F41" s="420"/>
    </row>
    <row r="42" ht="12" customHeight="1">
      <c r="F42" s="420"/>
    </row>
    <row r="43" ht="12" customHeight="1">
      <c r="F43" s="420"/>
    </row>
    <row r="44" ht="12" customHeight="1">
      <c r="F44" s="420"/>
    </row>
    <row r="45" ht="15" customHeight="1">
      <c r="F45" s="420"/>
    </row>
    <row r="46" spans="3:6" ht="15" customHeight="1">
      <c r="C46" s="256"/>
      <c r="F46" s="420"/>
    </row>
    <row r="47" ht="15" customHeight="1">
      <c r="F47" s="420"/>
    </row>
    <row r="48" ht="15" customHeight="1">
      <c r="F48" s="420"/>
    </row>
    <row r="49" ht="15" customHeight="1">
      <c r="F49" s="420"/>
    </row>
    <row r="50" ht="15" customHeight="1">
      <c r="F50" s="420"/>
    </row>
    <row r="51" ht="15" customHeight="1">
      <c r="F51" s="420"/>
    </row>
    <row r="52" ht="15" customHeight="1">
      <c r="F52" s="420"/>
    </row>
    <row r="53" ht="18" customHeight="1">
      <c r="F53" s="420"/>
    </row>
    <row r="54" ht="18" customHeight="1">
      <c r="F54" s="420"/>
    </row>
    <row r="55" ht="18" customHeight="1">
      <c r="F55" s="420"/>
    </row>
    <row r="56" ht="18" customHeight="1">
      <c r="F56" s="420"/>
    </row>
    <row r="57" ht="18" customHeight="1">
      <c r="F57" s="420"/>
    </row>
    <row r="58" ht="18" customHeight="1">
      <c r="F58" s="420"/>
    </row>
    <row r="59" ht="18" customHeight="1">
      <c r="F59" s="420"/>
    </row>
    <row r="60" ht="18" customHeight="1">
      <c r="F60" s="420"/>
    </row>
    <row r="61" ht="18" customHeight="1">
      <c r="F61" s="420"/>
    </row>
    <row r="62" ht="18" customHeight="1">
      <c r="F62" s="420"/>
    </row>
    <row r="63" ht="18" customHeight="1">
      <c r="F63" s="420"/>
    </row>
    <row r="64" ht="18" customHeight="1">
      <c r="F64" s="420"/>
    </row>
    <row r="65" ht="18" customHeight="1">
      <c r="F65" s="420"/>
    </row>
    <row r="66" ht="18" customHeight="1">
      <c r="F66" s="420"/>
    </row>
    <row r="67" ht="18" customHeight="1">
      <c r="F67" s="420"/>
    </row>
    <row r="68" ht="18" customHeight="1">
      <c r="F68" s="420"/>
    </row>
    <row r="69" ht="18" customHeight="1">
      <c r="F69" s="420"/>
    </row>
    <row r="70" ht="18" customHeight="1">
      <c r="F70" s="420"/>
    </row>
    <row r="71" ht="18" customHeight="1">
      <c r="F71" s="420"/>
    </row>
    <row r="72" ht="18" customHeight="1">
      <c r="F72" s="420"/>
    </row>
    <row r="73" ht="18" customHeight="1">
      <c r="F73" s="420"/>
    </row>
    <row r="74" ht="18" customHeight="1">
      <c r="F74" s="420"/>
    </row>
    <row r="75" ht="18" customHeight="1">
      <c r="F75" s="420"/>
    </row>
    <row r="76" ht="18" customHeight="1">
      <c r="F76" s="420"/>
    </row>
    <row r="77" ht="18" customHeight="1">
      <c r="F77" s="420"/>
    </row>
    <row r="78" ht="18" customHeight="1">
      <c r="F78" s="420"/>
    </row>
    <row r="79" ht="18" customHeight="1">
      <c r="F79" s="420"/>
    </row>
    <row r="80" ht="18" customHeight="1">
      <c r="F80" s="420"/>
    </row>
    <row r="81" ht="18" customHeight="1">
      <c r="F81" s="420"/>
    </row>
    <row r="82" ht="18" customHeight="1">
      <c r="F82" s="420"/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8">
    <mergeCell ref="B33:J33"/>
    <mergeCell ref="B6:J6"/>
    <mergeCell ref="C8:C9"/>
    <mergeCell ref="D8:D9"/>
    <mergeCell ref="B2:J2"/>
    <mergeCell ref="B3:J3"/>
    <mergeCell ref="B4:J4"/>
    <mergeCell ref="B5:J5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showGridLines="0" zoomScale="90" zoomScaleNormal="90" workbookViewId="0" topLeftCell="A22">
      <selection activeCell="J11" sqref="J11"/>
    </sheetView>
  </sheetViews>
  <sheetFormatPr defaultColWidth="11.421875" defaultRowHeight="12.75"/>
  <cols>
    <col min="1" max="1" width="2.7109375" style="4" customWidth="1"/>
    <col min="2" max="2" width="37.7109375" style="4" customWidth="1"/>
    <col min="3" max="3" width="22.28125" style="4" customWidth="1"/>
    <col min="4" max="4" width="21.28125" style="4" customWidth="1"/>
    <col min="5" max="5" width="4.7109375" style="4" customWidth="1"/>
    <col min="6" max="6" width="11.421875" style="4" customWidth="1"/>
    <col min="7" max="7" width="13.8515625" style="4" bestFit="1" customWidth="1"/>
    <col min="8" max="16384" width="11.421875" style="4" customWidth="1"/>
  </cols>
  <sheetData>
    <row r="1" spans="1:5" ht="15" customHeight="1" thickTop="1">
      <c r="A1" s="1"/>
      <c r="B1" s="2"/>
      <c r="C1" s="2"/>
      <c r="D1" s="11" t="s">
        <v>130</v>
      </c>
      <c r="E1" s="3"/>
    </row>
    <row r="2" spans="1:5" ht="18" customHeight="1">
      <c r="A2" s="5"/>
      <c r="B2" s="573" t="str">
        <f>CARAT!B11</f>
        <v>IMAGINATE S.R.L.</v>
      </c>
      <c r="C2" s="573"/>
      <c r="D2" s="573"/>
      <c r="E2" s="7"/>
    </row>
    <row r="3" spans="1:5" ht="15" customHeight="1" thickBot="1">
      <c r="A3" s="5"/>
      <c r="B3" s="6"/>
      <c r="C3" s="6"/>
      <c r="D3" s="6"/>
      <c r="E3" s="7"/>
    </row>
    <row r="4" spans="1:5" ht="18">
      <c r="A4" s="5"/>
      <c r="B4" s="574" t="s">
        <v>165</v>
      </c>
      <c r="C4" s="575"/>
      <c r="D4" s="576"/>
      <c r="E4" s="7"/>
    </row>
    <row r="5" spans="1:5" ht="15.75">
      <c r="A5" s="5"/>
      <c r="B5" s="577" t="s">
        <v>216</v>
      </c>
      <c r="C5" s="578"/>
      <c r="D5" s="579"/>
      <c r="E5" s="7"/>
    </row>
    <row r="6" spans="1:5" ht="13.5" thickBot="1">
      <c r="A6" s="5"/>
      <c r="B6" s="580" t="s">
        <v>78</v>
      </c>
      <c r="C6" s="581"/>
      <c r="D6" s="582"/>
      <c r="E6" s="7"/>
    </row>
    <row r="7" spans="1:5" ht="15">
      <c r="A7" s="5"/>
      <c r="B7" s="12"/>
      <c r="C7" s="8"/>
      <c r="D7" s="8"/>
      <c r="E7" s="7"/>
    </row>
    <row r="8" spans="1:5" ht="18" customHeight="1" thickBot="1">
      <c r="A8" s="5"/>
      <c r="B8" s="6"/>
      <c r="C8" s="6"/>
      <c r="D8" s="6"/>
      <c r="E8" s="7"/>
    </row>
    <row r="9" spans="1:5" ht="30" customHeight="1" thickBot="1">
      <c r="A9" s="5"/>
      <c r="B9" s="115" t="s">
        <v>22</v>
      </c>
      <c r="C9" s="34" t="s">
        <v>121</v>
      </c>
      <c r="D9" s="34" t="s">
        <v>120</v>
      </c>
      <c r="E9" s="7"/>
    </row>
    <row r="10" spans="1:5" ht="15" customHeight="1" thickBot="1">
      <c r="A10" s="5"/>
      <c r="B10" s="13"/>
      <c r="C10" s="14" t="s">
        <v>8</v>
      </c>
      <c r="D10" s="14" t="s">
        <v>8</v>
      </c>
      <c r="E10" s="7"/>
    </row>
    <row r="11" spans="1:5" ht="30" customHeight="1">
      <c r="A11" s="5"/>
      <c r="B11" s="16" t="s">
        <v>163</v>
      </c>
      <c r="C11" s="35">
        <v>115400</v>
      </c>
      <c r="D11" s="35">
        <v>110900</v>
      </c>
      <c r="E11" s="7"/>
    </row>
    <row r="12" spans="1:5" ht="30" customHeight="1">
      <c r="A12" s="5"/>
      <c r="B12" s="16" t="s">
        <v>63</v>
      </c>
      <c r="C12" s="36"/>
      <c r="D12" s="36"/>
      <c r="E12" s="7"/>
    </row>
    <row r="13" spans="1:7" ht="30" customHeight="1">
      <c r="A13" s="5"/>
      <c r="B13" s="15" t="s">
        <v>64</v>
      </c>
      <c r="C13" s="35">
        <v>421006.7</v>
      </c>
      <c r="D13" s="35">
        <v>412600</v>
      </c>
      <c r="E13" s="7"/>
      <c r="G13" s="493"/>
    </row>
    <row r="14" spans="1:7" ht="30" customHeight="1" thickBot="1">
      <c r="A14" s="5"/>
      <c r="B14" s="16" t="s">
        <v>65</v>
      </c>
      <c r="C14" s="35"/>
      <c r="D14" s="35"/>
      <c r="E14" s="7"/>
      <c r="G14" s="666"/>
    </row>
    <row r="15" spans="1:7" ht="30" customHeight="1">
      <c r="A15" s="5"/>
      <c r="B15" s="17" t="s">
        <v>66</v>
      </c>
      <c r="C15" s="37">
        <f>SUM(C11:C14)</f>
        <v>536406.7</v>
      </c>
      <c r="D15" s="37">
        <f>SUM(D11:D14)</f>
        <v>523500</v>
      </c>
      <c r="E15" s="7"/>
      <c r="G15" s="667">
        <f>+G16-G18+G17</f>
        <v>421006.7</v>
      </c>
    </row>
    <row r="16" spans="1:7" ht="30" customHeight="1">
      <c r="A16" s="5"/>
      <c r="B16" s="16" t="s">
        <v>67</v>
      </c>
      <c r="C16" s="36"/>
      <c r="D16" s="36"/>
      <c r="E16" s="7"/>
      <c r="G16" s="668">
        <v>421771.7</v>
      </c>
    </row>
    <row r="17" spans="1:7" ht="30" customHeight="1" thickBot="1">
      <c r="A17" s="5"/>
      <c r="B17" s="16" t="s">
        <v>68</v>
      </c>
      <c r="C17" s="35">
        <v>116750</v>
      </c>
      <c r="D17" s="35">
        <v>115400</v>
      </c>
      <c r="E17" s="7"/>
      <c r="G17" s="667">
        <f>+C17-C11</f>
        <v>1350</v>
      </c>
    </row>
    <row r="18" spans="1:7" ht="30" customHeight="1" thickBot="1">
      <c r="A18" s="5"/>
      <c r="B18" s="43" t="s">
        <v>125</v>
      </c>
      <c r="C18" s="38">
        <f>C15-C17</f>
        <v>419656.69999999995</v>
      </c>
      <c r="D18" s="38">
        <f>D15-D17</f>
        <v>408100</v>
      </c>
      <c r="E18" s="7"/>
      <c r="G18" s="668">
        <v>2115</v>
      </c>
    </row>
    <row r="19" spans="1:7" ht="36" customHeight="1">
      <c r="A19" s="5"/>
      <c r="B19" s="18"/>
      <c r="C19" s="19"/>
      <c r="D19" s="19"/>
      <c r="E19" s="7"/>
      <c r="G19" s="667">
        <f>+G18-G17</f>
        <v>765</v>
      </c>
    </row>
    <row r="20" spans="1:7" ht="36" customHeight="1">
      <c r="A20" s="5"/>
      <c r="B20" s="18"/>
      <c r="C20" s="19"/>
      <c r="D20" s="19"/>
      <c r="E20" s="7"/>
      <c r="G20" s="668"/>
    </row>
    <row r="21" spans="1:5" ht="36" customHeight="1">
      <c r="A21" s="5"/>
      <c r="B21" s="18"/>
      <c r="C21" s="19"/>
      <c r="D21" s="19"/>
      <c r="E21" s="7"/>
    </row>
    <row r="22" spans="1:5" ht="15" customHeight="1">
      <c r="A22" s="5"/>
      <c r="B22" s="20" t="s">
        <v>70</v>
      </c>
      <c r="C22" s="21"/>
      <c r="D22" s="22"/>
      <c r="E22" s="7"/>
    </row>
    <row r="23" spans="1:5" ht="15" customHeight="1" thickBot="1">
      <c r="A23" s="9"/>
      <c r="B23" s="23"/>
      <c r="C23" s="10"/>
      <c r="D23" s="10"/>
      <c r="E23" s="25"/>
    </row>
    <row r="24" ht="30" customHeight="1" thickTop="1">
      <c r="B24" s="24"/>
    </row>
    <row r="25" ht="30" customHeight="1">
      <c r="B25" s="24"/>
    </row>
    <row r="26" ht="30" customHeight="1">
      <c r="B26" s="24"/>
    </row>
    <row r="27" ht="30" customHeight="1">
      <c r="B27" s="24"/>
    </row>
    <row r="28" ht="30" customHeight="1">
      <c r="B28" s="24"/>
    </row>
    <row r="29" ht="30" customHeight="1">
      <c r="B29" s="24"/>
    </row>
    <row r="30" ht="30" customHeight="1">
      <c r="B30" s="24"/>
    </row>
    <row r="31" ht="30" customHeight="1">
      <c r="B31" s="24"/>
    </row>
    <row r="32" ht="30" customHeight="1">
      <c r="B32" s="24"/>
    </row>
    <row r="33" ht="30" customHeight="1">
      <c r="B33" s="24"/>
    </row>
    <row r="34" ht="30" customHeight="1">
      <c r="B34" s="24"/>
    </row>
    <row r="35" ht="30" customHeight="1">
      <c r="B35" s="24"/>
    </row>
    <row r="36" ht="30" customHeight="1">
      <c r="B36" s="24"/>
    </row>
    <row r="37" ht="30" customHeight="1">
      <c r="B37" s="24"/>
    </row>
    <row r="38" ht="30" customHeight="1">
      <c r="B38" s="24"/>
    </row>
    <row r="39" ht="30" customHeight="1">
      <c r="B39" s="24"/>
    </row>
    <row r="40" ht="30" customHeight="1">
      <c r="B40" s="24"/>
    </row>
    <row r="41" ht="15" customHeight="1">
      <c r="B41" s="24"/>
    </row>
    <row r="42" ht="15" customHeight="1">
      <c r="B42" s="24"/>
    </row>
    <row r="43" ht="15" customHeight="1">
      <c r="B43" s="24"/>
    </row>
    <row r="44" ht="15" customHeight="1">
      <c r="B44" s="24"/>
    </row>
    <row r="45" ht="15" customHeight="1">
      <c r="B45" s="24"/>
    </row>
    <row r="46" ht="15" customHeight="1">
      <c r="B46" s="24"/>
    </row>
    <row r="47" ht="15" customHeight="1">
      <c r="B47" s="24"/>
    </row>
    <row r="48" ht="15" customHeight="1">
      <c r="B48" s="24"/>
    </row>
    <row r="49" ht="15" customHeight="1">
      <c r="B49" s="24"/>
    </row>
    <row r="50" ht="15" customHeight="1">
      <c r="B50" s="24"/>
    </row>
    <row r="51" ht="15" customHeight="1">
      <c r="B51" s="24"/>
    </row>
    <row r="52" ht="15" customHeight="1">
      <c r="B52" s="24"/>
    </row>
    <row r="53" ht="12.75" customHeight="1">
      <c r="B53" s="24"/>
    </row>
    <row r="54" ht="12.75" customHeight="1">
      <c r="B54" s="24"/>
    </row>
    <row r="55" ht="12.75" customHeight="1">
      <c r="B55" s="24"/>
    </row>
    <row r="56" ht="12.75" customHeight="1">
      <c r="B56" s="24"/>
    </row>
    <row r="57" ht="12.75" customHeight="1">
      <c r="B57" s="24"/>
    </row>
    <row r="58" ht="12.75" customHeight="1"/>
    <row r="59" ht="12.75" customHeight="1"/>
    <row r="60" ht="12.75" customHeight="1"/>
  </sheetData>
  <mergeCells count="4">
    <mergeCell ref="B2:D2"/>
    <mergeCell ref="B4:D4"/>
    <mergeCell ref="B5:D5"/>
    <mergeCell ref="B6:D6"/>
  </mergeCells>
  <printOptions horizontalCentered="1"/>
  <pageMargins left="0.7874015748031497" right="0.7874015748031497" top="0.78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6"/>
  <sheetViews>
    <sheetView showGridLines="0" zoomScale="75" zoomScaleNormal="75" workbookViewId="0" topLeftCell="A28">
      <selection activeCell="I22" sqref="I22"/>
    </sheetView>
  </sheetViews>
  <sheetFormatPr defaultColWidth="11.421875" defaultRowHeight="12.75"/>
  <cols>
    <col min="1" max="1" width="1.28515625" style="180" customWidth="1"/>
    <col min="2" max="2" width="53.8515625" style="180" customWidth="1"/>
    <col min="3" max="3" width="15.28125" style="255" customWidth="1"/>
    <col min="4" max="4" width="17.28125" style="255" customWidth="1"/>
    <col min="5" max="5" width="1.7109375" style="180" customWidth="1"/>
    <col min="6" max="16384" width="11.421875" style="180" customWidth="1"/>
  </cols>
  <sheetData>
    <row r="1" spans="1:5" ht="18.75" customHeight="1" thickTop="1">
      <c r="A1" s="586" t="str">
        <f>CARAT!B11</f>
        <v>IMAGINATE S.R.L.</v>
      </c>
      <c r="B1" s="587"/>
      <c r="C1" s="587"/>
      <c r="D1" s="587"/>
      <c r="E1" s="588"/>
    </row>
    <row r="2" spans="1:5" ht="15" customHeight="1" thickBot="1">
      <c r="A2" s="208"/>
      <c r="B2" s="183"/>
      <c r="C2" s="209"/>
      <c r="D2" s="209"/>
      <c r="E2" s="210"/>
    </row>
    <row r="3" spans="1:5" ht="19.5" customHeight="1">
      <c r="A3" s="208"/>
      <c r="B3" s="583" t="s">
        <v>76</v>
      </c>
      <c r="C3" s="584"/>
      <c r="D3" s="585"/>
      <c r="E3" s="210"/>
    </row>
    <row r="4" spans="1:5" ht="15" customHeight="1">
      <c r="A4" s="208"/>
      <c r="B4" s="589" t="str">
        <f>'A.RTDOS'!B5</f>
        <v>Por el ejercicio finalizado el 31/12/2004</v>
      </c>
      <c r="C4" s="590"/>
      <c r="D4" s="591"/>
      <c r="E4" s="210"/>
    </row>
    <row r="5" spans="1:5" ht="24.75" customHeight="1" thickBot="1">
      <c r="A5" s="208"/>
      <c r="B5" s="592" t="s">
        <v>78</v>
      </c>
      <c r="C5" s="593"/>
      <c r="D5" s="594"/>
      <c r="E5" s="210"/>
    </row>
    <row r="6" spans="1:5" ht="6.75" customHeight="1" thickBot="1">
      <c r="A6" s="208"/>
      <c r="B6" s="183"/>
      <c r="C6" s="209"/>
      <c r="D6" s="209"/>
      <c r="E6" s="210"/>
    </row>
    <row r="7" spans="1:5" ht="27" customHeight="1" thickBot="1">
      <c r="A7" s="208"/>
      <c r="B7" s="216"/>
      <c r="C7" s="273" t="s">
        <v>121</v>
      </c>
      <c r="D7" s="273" t="s">
        <v>120</v>
      </c>
      <c r="E7" s="210"/>
    </row>
    <row r="8" spans="1:5" ht="15" customHeight="1" thickBot="1">
      <c r="A8" s="208"/>
      <c r="B8" s="181"/>
      <c r="C8" s="274" t="s">
        <v>23</v>
      </c>
      <c r="D8" s="274" t="s">
        <v>23</v>
      </c>
      <c r="E8" s="210"/>
    </row>
    <row r="9" spans="1:5" s="277" customFormat="1" ht="34.5" customHeight="1">
      <c r="A9" s="275"/>
      <c r="B9" s="181" t="s">
        <v>166</v>
      </c>
      <c r="C9" s="286">
        <v>517645</v>
      </c>
      <c r="D9" s="286">
        <v>506800</v>
      </c>
      <c r="E9" s="276"/>
    </row>
    <row r="10" spans="1:5" s="277" customFormat="1" ht="34.5" customHeight="1">
      <c r="A10" s="275"/>
      <c r="B10" s="181" t="s">
        <v>167</v>
      </c>
      <c r="C10" s="286">
        <f>-'A.RTDOS'!C18</f>
        <v>-419656.69999999995</v>
      </c>
      <c r="D10" s="286">
        <v>-408100</v>
      </c>
      <c r="E10" s="276"/>
    </row>
    <row r="11" spans="1:5" ht="9.75" customHeight="1">
      <c r="A11" s="208"/>
      <c r="B11" s="181"/>
      <c r="C11" s="287"/>
      <c r="D11" s="288"/>
      <c r="E11" s="210"/>
    </row>
    <row r="12" spans="1:5" ht="25.5" customHeight="1">
      <c r="A12" s="208"/>
      <c r="B12" s="181" t="s">
        <v>139</v>
      </c>
      <c r="C12" s="286">
        <v>0</v>
      </c>
      <c r="D12" s="286">
        <v>0</v>
      </c>
      <c r="E12" s="210"/>
    </row>
    <row r="13" spans="1:5" ht="34.5" customHeight="1">
      <c r="A13" s="208"/>
      <c r="B13" s="231" t="s">
        <v>444</v>
      </c>
      <c r="C13" s="286">
        <f>-'A.GASTOS'!H30</f>
        <v>-29821.359999999997</v>
      </c>
      <c r="D13" s="286">
        <v>-28226</v>
      </c>
      <c r="E13" s="210"/>
    </row>
    <row r="14" spans="1:5" ht="34.5" customHeight="1">
      <c r="A14" s="208"/>
      <c r="B14" s="231" t="s">
        <v>445</v>
      </c>
      <c r="C14" s="286">
        <f>-'A.GASTOS'!F30</f>
        <v>-27135.109999999997</v>
      </c>
      <c r="D14" s="286">
        <v>-22212.17</v>
      </c>
      <c r="E14" s="210"/>
    </row>
    <row r="15" spans="1:5" ht="34.5" customHeight="1">
      <c r="A15" s="208"/>
      <c r="B15" s="241" t="s">
        <v>446</v>
      </c>
      <c r="C15" s="286">
        <f>-'A.GASTOS'!J30</f>
        <v>-880.98</v>
      </c>
      <c r="D15" s="286">
        <v>-900</v>
      </c>
      <c r="E15" s="210"/>
    </row>
    <row r="16" spans="1:5" ht="34.5" customHeight="1">
      <c r="A16" s="208"/>
      <c r="B16" s="181" t="s">
        <v>140</v>
      </c>
      <c r="C16" s="286">
        <v>0</v>
      </c>
      <c r="D16" s="286">
        <v>0</v>
      </c>
      <c r="E16" s="210"/>
    </row>
    <row r="17" spans="1:5" ht="34.5" customHeight="1">
      <c r="A17" s="208"/>
      <c r="B17" s="278" t="s">
        <v>447</v>
      </c>
      <c r="C17" s="286">
        <f>200+255.51+18323.19-4697.94-56298.61</f>
        <v>-42217.850000000006</v>
      </c>
      <c r="D17" s="286">
        <v>-25600</v>
      </c>
      <c r="E17" s="210"/>
    </row>
    <row r="18" spans="1:5" ht="34.5" customHeight="1">
      <c r="A18" s="208"/>
      <c r="B18" s="279" t="s">
        <v>448</v>
      </c>
      <c r="C18" s="286">
        <f>35000-12000</f>
        <v>23000</v>
      </c>
      <c r="D18" s="286">
        <v>0</v>
      </c>
      <c r="E18" s="210"/>
    </row>
    <row r="19" spans="1:5" s="277" customFormat="1" ht="34.5" customHeight="1">
      <c r="A19" s="275"/>
      <c r="B19" s="280" t="s">
        <v>141</v>
      </c>
      <c r="C19" s="289">
        <f>SUM(C9:C18)</f>
        <v>20933.000000000036</v>
      </c>
      <c r="D19" s="289">
        <f>SUM(D9:D18)</f>
        <v>21761.83</v>
      </c>
      <c r="E19" s="276"/>
    </row>
    <row r="20" spans="1:7" ht="34.5" customHeight="1">
      <c r="A20" s="208"/>
      <c r="B20" s="181" t="s">
        <v>143</v>
      </c>
      <c r="C20" s="286">
        <v>-3690</v>
      </c>
      <c r="D20" s="286">
        <v>-3220</v>
      </c>
      <c r="E20" s="210"/>
      <c r="G20" s="669">
        <f>+C20/0.35</f>
        <v>-10542.857142857143</v>
      </c>
    </row>
    <row r="21" spans="1:5" s="277" customFormat="1" ht="34.5" customHeight="1">
      <c r="A21" s="275"/>
      <c r="B21" s="281" t="s">
        <v>142</v>
      </c>
      <c r="C21" s="290">
        <f>SUM(C19:C20)</f>
        <v>17243.000000000036</v>
      </c>
      <c r="D21" s="290">
        <f>SUM(D19:D20)</f>
        <v>18541.83</v>
      </c>
      <c r="E21" s="276"/>
    </row>
    <row r="22" spans="1:5" s="277" customFormat="1" ht="34.5" customHeight="1">
      <c r="A22" s="275"/>
      <c r="B22" s="282" t="s">
        <v>451</v>
      </c>
      <c r="C22" s="290">
        <v>0</v>
      </c>
      <c r="D22" s="290">
        <v>0</v>
      </c>
      <c r="E22" s="276"/>
    </row>
    <row r="23" spans="1:5" s="277" customFormat="1" ht="34.5" customHeight="1" thickBot="1">
      <c r="A23" s="275"/>
      <c r="B23" s="283" t="s">
        <v>24</v>
      </c>
      <c r="C23" s="291">
        <f>SUM(C21:C22)</f>
        <v>17243.000000000036</v>
      </c>
      <c r="D23" s="291">
        <f>SUM(D21:D22)</f>
        <v>18541.83</v>
      </c>
      <c r="E23" s="276"/>
    </row>
    <row r="24" spans="1:5" ht="15" customHeight="1">
      <c r="A24" s="208"/>
      <c r="B24" s="284"/>
      <c r="C24" s="285"/>
      <c r="D24" s="285"/>
      <c r="E24" s="210"/>
    </row>
    <row r="25" spans="1:5" ht="15" customHeight="1">
      <c r="A25" s="208"/>
      <c r="B25" s="257" t="s">
        <v>70</v>
      </c>
      <c r="C25" s="258"/>
      <c r="D25" s="260"/>
      <c r="E25" s="210"/>
    </row>
    <row r="26" spans="1:5" ht="15" customHeight="1" thickBot="1">
      <c r="A26" s="261"/>
      <c r="B26" s="262"/>
      <c r="C26" s="263"/>
      <c r="D26" s="263"/>
      <c r="E26" s="264"/>
    </row>
    <row r="27" ht="13.5" thickTop="1"/>
  </sheetData>
  <mergeCells count="4">
    <mergeCell ref="B3:D3"/>
    <mergeCell ref="A1:E1"/>
    <mergeCell ref="B4:D4"/>
    <mergeCell ref="B5:D5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2"/>
  <sheetViews>
    <sheetView showGridLines="0" showZeros="0" zoomScale="85" zoomScaleNormal="85" workbookViewId="0" topLeftCell="A19">
      <selection activeCell="M29" sqref="M29:M32"/>
    </sheetView>
  </sheetViews>
  <sheetFormatPr defaultColWidth="11.421875" defaultRowHeight="12.75"/>
  <cols>
    <col min="1" max="1" width="0.9921875" style="180" customWidth="1"/>
    <col min="2" max="2" width="17.28125" style="180" customWidth="1"/>
    <col min="3" max="3" width="10.28125" style="255" customWidth="1"/>
    <col min="4" max="4" width="11.28125" style="255" customWidth="1"/>
    <col min="5" max="5" width="5.57421875" style="255" customWidth="1"/>
    <col min="6" max="6" width="5.00390625" style="255" customWidth="1"/>
    <col min="7" max="8" width="11.28125" style="255" customWidth="1"/>
    <col min="9" max="9" width="5.8515625" style="255" customWidth="1"/>
    <col min="10" max="10" width="10.7109375" style="255" customWidth="1"/>
    <col min="11" max="11" width="4.8515625" style="255" customWidth="1"/>
    <col min="12" max="13" width="10.421875" style="255" customWidth="1"/>
    <col min="14" max="14" width="11.28125" style="255" customWidth="1"/>
    <col min="15" max="15" width="9.8515625" style="255" customWidth="1"/>
    <col min="16" max="16" width="1.1484375" style="180" customWidth="1"/>
    <col min="17" max="16384" width="11.421875" style="180" customWidth="1"/>
  </cols>
  <sheetData>
    <row r="1" spans="1:16" ht="33" customHeight="1" thickTop="1">
      <c r="A1" s="206"/>
      <c r="B1" s="587" t="str">
        <f>CARAT!B11</f>
        <v>IMAGINATE S.R.L.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207"/>
    </row>
    <row r="2" spans="1:16" ht="13.5" thickBot="1">
      <c r="A2" s="208"/>
      <c r="B2" s="183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</row>
    <row r="3" spans="1:16" ht="29.25" customHeight="1">
      <c r="A3" s="208"/>
      <c r="B3" s="609" t="s">
        <v>25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1"/>
      <c r="P3" s="210"/>
    </row>
    <row r="4" spans="1:16" ht="15.75" customHeight="1">
      <c r="A4" s="208"/>
      <c r="B4" s="612" t="str">
        <f>'A.RTDOS'!B5</f>
        <v>Por el ejercicio finalizado el 31/12/2004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4"/>
      <c r="P4" s="210"/>
    </row>
    <row r="5" spans="1:16" ht="15" thickBot="1">
      <c r="A5" s="208"/>
      <c r="B5" s="615" t="s">
        <v>78</v>
      </c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7"/>
      <c r="P5" s="210"/>
    </row>
    <row r="6" spans="1:16" ht="12.75">
      <c r="A6" s="208"/>
      <c r="B6" s="183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</row>
    <row r="7" spans="1:21" ht="13.5" thickBot="1">
      <c r="A7" s="292"/>
      <c r="B7" s="29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5"/>
      <c r="N7" s="295"/>
      <c r="O7" s="295"/>
      <c r="P7" s="296"/>
      <c r="Q7" s="297"/>
      <c r="R7" s="297"/>
      <c r="S7" s="297"/>
      <c r="T7" s="297"/>
      <c r="U7" s="297"/>
    </row>
    <row r="8" spans="1:21" s="277" customFormat="1" ht="13.5" customHeight="1" thickBot="1">
      <c r="A8" s="327"/>
      <c r="B8" s="328"/>
      <c r="C8" s="298" t="s">
        <v>26</v>
      </c>
      <c r="D8" s="299"/>
      <c r="E8" s="299"/>
      <c r="F8" s="299"/>
      <c r="G8" s="329"/>
      <c r="H8" s="600" t="s">
        <v>145</v>
      </c>
      <c r="I8" s="601"/>
      <c r="J8" s="601"/>
      <c r="K8" s="601"/>
      <c r="L8" s="601"/>
      <c r="M8" s="602"/>
      <c r="N8" s="605" t="s">
        <v>123</v>
      </c>
      <c r="O8" s="605" t="s">
        <v>124</v>
      </c>
      <c r="P8" s="330"/>
      <c r="Q8" s="331"/>
      <c r="R8" s="331"/>
      <c r="S8" s="331"/>
      <c r="T8" s="331"/>
      <c r="U8" s="331"/>
    </row>
    <row r="9" spans="1:21" s="277" customFormat="1" ht="19.5" customHeight="1" thickBot="1">
      <c r="A9" s="327"/>
      <c r="B9" s="324"/>
      <c r="C9" s="603" t="s">
        <v>29</v>
      </c>
      <c r="D9" s="603" t="s">
        <v>30</v>
      </c>
      <c r="E9" s="603" t="s">
        <v>154</v>
      </c>
      <c r="F9" s="605" t="s">
        <v>144</v>
      </c>
      <c r="G9" s="595" t="s">
        <v>21</v>
      </c>
      <c r="H9" s="597" t="s">
        <v>27</v>
      </c>
      <c r="I9" s="598"/>
      <c r="J9" s="599"/>
      <c r="K9" s="603" t="s">
        <v>146</v>
      </c>
      <c r="L9" s="603" t="s">
        <v>122</v>
      </c>
      <c r="M9" s="595" t="s">
        <v>21</v>
      </c>
      <c r="N9" s="606"/>
      <c r="O9" s="606"/>
      <c r="P9" s="330"/>
      <c r="Q9" s="331"/>
      <c r="R9" s="331"/>
      <c r="S9" s="331"/>
      <c r="T9" s="331"/>
      <c r="U9" s="331"/>
    </row>
    <row r="10" spans="1:21" s="277" customFormat="1" ht="54.75" customHeight="1" thickBot="1">
      <c r="A10" s="327"/>
      <c r="B10" s="300" t="s">
        <v>28</v>
      </c>
      <c r="C10" s="618"/>
      <c r="D10" s="604"/>
      <c r="E10" s="604"/>
      <c r="F10" s="619"/>
      <c r="G10" s="596"/>
      <c r="H10" s="332" t="s">
        <v>31</v>
      </c>
      <c r="I10" s="332" t="s">
        <v>32</v>
      </c>
      <c r="J10" s="301" t="s">
        <v>21</v>
      </c>
      <c r="K10" s="604"/>
      <c r="L10" s="604"/>
      <c r="M10" s="596"/>
      <c r="N10" s="607" t="s">
        <v>77</v>
      </c>
      <c r="O10" s="607" t="s">
        <v>77</v>
      </c>
      <c r="P10" s="330"/>
      <c r="Q10" s="331"/>
      <c r="R10" s="331"/>
      <c r="S10" s="331"/>
      <c r="T10" s="331"/>
      <c r="U10" s="331"/>
    </row>
    <row r="11" spans="1:21" ht="43.5" customHeight="1">
      <c r="A11" s="292"/>
      <c r="B11" s="325" t="s">
        <v>33</v>
      </c>
      <c r="C11" s="302">
        <v>50000</v>
      </c>
      <c r="D11" s="302">
        <v>100000</v>
      </c>
      <c r="E11" s="302">
        <v>0</v>
      </c>
      <c r="F11" s="302">
        <v>0</v>
      </c>
      <c r="G11" s="302">
        <f>SUM(C11:F11)</f>
        <v>150000</v>
      </c>
      <c r="H11" s="302">
        <v>30000</v>
      </c>
      <c r="I11" s="302">
        <v>0</v>
      </c>
      <c r="J11" s="302">
        <f>SUM(H11:I11)</f>
        <v>30000</v>
      </c>
      <c r="K11" s="302">
        <v>0</v>
      </c>
      <c r="L11" s="302">
        <v>36000</v>
      </c>
      <c r="M11" s="302">
        <f>SUM(J11:L11)</f>
        <v>66000</v>
      </c>
      <c r="N11" s="302">
        <f>+G11+M11</f>
        <v>216000</v>
      </c>
      <c r="O11" s="303">
        <v>197458.17</v>
      </c>
      <c r="P11" s="296"/>
      <c r="Q11" s="297"/>
      <c r="R11" s="670">
        <f>+L11+L18</f>
        <v>22400</v>
      </c>
      <c r="S11" s="297"/>
      <c r="T11" s="297"/>
      <c r="U11" s="297"/>
    </row>
    <row r="12" spans="1:21" ht="43.5" customHeight="1" thickBot="1">
      <c r="A12" s="292"/>
      <c r="B12" s="306" t="s">
        <v>147</v>
      </c>
      <c r="C12" s="304">
        <v>0</v>
      </c>
      <c r="D12" s="304">
        <v>0</v>
      </c>
      <c r="E12" s="304">
        <v>0</v>
      </c>
      <c r="F12" s="304">
        <v>0</v>
      </c>
      <c r="G12" s="302">
        <f>SUM(C12:F12)</f>
        <v>0</v>
      </c>
      <c r="H12" s="304">
        <v>0</v>
      </c>
      <c r="I12" s="304">
        <v>0</v>
      </c>
      <c r="J12" s="302">
        <f>SUM(H12:I12)</f>
        <v>0</v>
      </c>
      <c r="K12" s="304">
        <v>0</v>
      </c>
      <c r="L12" s="304">
        <v>0</v>
      </c>
      <c r="M12" s="302">
        <f>SUM(J12:L12)</f>
        <v>0</v>
      </c>
      <c r="N12" s="302">
        <f>+G12+M12</f>
        <v>0</v>
      </c>
      <c r="O12" s="305">
        <v>0</v>
      </c>
      <c r="P12" s="296"/>
      <c r="Q12" s="297"/>
      <c r="R12" s="671"/>
      <c r="S12" s="297"/>
      <c r="T12" s="297"/>
      <c r="U12" s="297"/>
    </row>
    <row r="13" spans="1:21" ht="43.5" customHeight="1" thickBot="1">
      <c r="A13" s="292"/>
      <c r="B13" s="306" t="s">
        <v>148</v>
      </c>
      <c r="C13" s="307">
        <f>SUM(C11:C12)</f>
        <v>50000</v>
      </c>
      <c r="D13" s="307">
        <f aca="true" t="shared" si="0" ref="D13:O13">SUM(D11:D12)</f>
        <v>100000</v>
      </c>
      <c r="E13" s="307">
        <f t="shared" si="0"/>
        <v>0</v>
      </c>
      <c r="F13" s="307">
        <f t="shared" si="0"/>
        <v>0</v>
      </c>
      <c r="G13" s="307">
        <f t="shared" si="0"/>
        <v>150000</v>
      </c>
      <c r="H13" s="307">
        <f t="shared" si="0"/>
        <v>30000</v>
      </c>
      <c r="I13" s="307">
        <f t="shared" si="0"/>
        <v>0</v>
      </c>
      <c r="J13" s="307">
        <f t="shared" si="0"/>
        <v>30000</v>
      </c>
      <c r="K13" s="307">
        <f t="shared" si="0"/>
        <v>0</v>
      </c>
      <c r="L13" s="307">
        <f t="shared" si="0"/>
        <v>36000</v>
      </c>
      <c r="M13" s="307">
        <f t="shared" si="0"/>
        <v>66000</v>
      </c>
      <c r="N13" s="307">
        <f>SUM(N11:N12)</f>
        <v>216000</v>
      </c>
      <c r="O13" s="308">
        <f t="shared" si="0"/>
        <v>197458.17</v>
      </c>
      <c r="P13" s="296"/>
      <c r="Q13" s="297"/>
      <c r="R13" s="297"/>
      <c r="S13" s="297"/>
      <c r="T13" s="297"/>
      <c r="U13" s="297"/>
    </row>
    <row r="14" spans="1:21" ht="43.5" customHeight="1">
      <c r="A14" s="292"/>
      <c r="B14" s="309" t="s">
        <v>149</v>
      </c>
      <c r="C14" s="302">
        <v>0</v>
      </c>
      <c r="D14" s="302">
        <v>0</v>
      </c>
      <c r="E14" s="302">
        <v>0</v>
      </c>
      <c r="F14" s="302">
        <v>0</v>
      </c>
      <c r="G14" s="302">
        <f>SUM(C14:F14)</f>
        <v>0</v>
      </c>
      <c r="H14" s="302"/>
      <c r="I14" s="302"/>
      <c r="J14" s="302">
        <f aca="true" t="shared" si="1" ref="J14:J21">SUM(H14:I14)</f>
        <v>0</v>
      </c>
      <c r="K14" s="302"/>
      <c r="L14" s="302"/>
      <c r="M14" s="302">
        <f>SUM(J14:L14)</f>
        <v>0</v>
      </c>
      <c r="N14" s="302">
        <f aca="true" t="shared" si="2" ref="N14:N20">+G14+M14</f>
        <v>0</v>
      </c>
      <c r="O14" s="303">
        <v>0</v>
      </c>
      <c r="P14" s="296"/>
      <c r="Q14" s="297"/>
      <c r="R14" s="297"/>
      <c r="S14" s="297"/>
      <c r="T14" s="297"/>
      <c r="U14" s="297"/>
    </row>
    <row r="15" spans="1:21" ht="50.25" customHeight="1">
      <c r="A15" s="292"/>
      <c r="B15" s="309" t="s">
        <v>150</v>
      </c>
      <c r="C15" s="310">
        <v>0</v>
      </c>
      <c r="D15" s="310">
        <v>0</v>
      </c>
      <c r="E15" s="310">
        <v>0</v>
      </c>
      <c r="F15" s="310">
        <v>0</v>
      </c>
      <c r="G15" s="302">
        <f aca="true" t="shared" si="3" ref="G15:G21">SUM(C15:F15)</f>
        <v>0</v>
      </c>
      <c r="H15" s="310"/>
      <c r="I15" s="310"/>
      <c r="J15" s="302">
        <f t="shared" si="1"/>
        <v>0</v>
      </c>
      <c r="K15" s="310"/>
      <c r="L15" s="310"/>
      <c r="M15" s="302">
        <f aca="true" t="shared" si="4" ref="M15:M21">SUM(J15:L15)</f>
        <v>0</v>
      </c>
      <c r="N15" s="302">
        <f t="shared" si="2"/>
        <v>0</v>
      </c>
      <c r="O15" s="311">
        <v>0</v>
      </c>
      <c r="P15" s="296"/>
      <c r="Q15" s="297"/>
      <c r="R15" s="297"/>
      <c r="S15" s="297"/>
      <c r="T15" s="297"/>
      <c r="U15" s="297"/>
    </row>
    <row r="16" spans="1:21" ht="43.5" customHeight="1">
      <c r="A16" s="292"/>
      <c r="B16" s="312" t="s">
        <v>74</v>
      </c>
      <c r="C16" s="310"/>
      <c r="D16" s="310"/>
      <c r="E16" s="310"/>
      <c r="F16" s="310"/>
      <c r="G16" s="302"/>
      <c r="H16" s="310"/>
      <c r="I16" s="310"/>
      <c r="J16" s="302"/>
      <c r="K16" s="310"/>
      <c r="L16" s="310"/>
      <c r="M16" s="302">
        <f t="shared" si="4"/>
        <v>0</v>
      </c>
      <c r="N16" s="302">
        <f t="shared" si="2"/>
        <v>0</v>
      </c>
      <c r="O16" s="311"/>
      <c r="P16" s="296"/>
      <c r="Q16" s="297"/>
      <c r="R16" s="297"/>
      <c r="S16" s="297"/>
      <c r="T16" s="297"/>
      <c r="U16" s="297"/>
    </row>
    <row r="17" spans="1:21" ht="43.5" customHeight="1">
      <c r="A17" s="292"/>
      <c r="B17" s="306" t="s">
        <v>34</v>
      </c>
      <c r="C17" s="310"/>
      <c r="D17" s="310"/>
      <c r="E17" s="310"/>
      <c r="F17" s="310"/>
      <c r="G17" s="302">
        <f t="shared" si="3"/>
        <v>0</v>
      </c>
      <c r="H17" s="310">
        <v>0</v>
      </c>
      <c r="I17" s="310"/>
      <c r="J17" s="302">
        <f t="shared" si="1"/>
        <v>0</v>
      </c>
      <c r="K17" s="310"/>
      <c r="L17" s="310">
        <v>0</v>
      </c>
      <c r="M17" s="302">
        <f t="shared" si="4"/>
        <v>0</v>
      </c>
      <c r="N17" s="302">
        <f t="shared" si="2"/>
        <v>0</v>
      </c>
      <c r="O17" s="311">
        <v>0</v>
      </c>
      <c r="P17" s="296"/>
      <c r="Q17" s="297"/>
      <c r="R17" s="297"/>
      <c r="S17" s="297"/>
      <c r="T17" s="297"/>
      <c r="U17" s="297"/>
    </row>
    <row r="18" spans="1:21" ht="43.5" customHeight="1">
      <c r="A18" s="292"/>
      <c r="B18" s="306" t="s">
        <v>151</v>
      </c>
      <c r="C18" s="310"/>
      <c r="D18" s="310"/>
      <c r="E18" s="310"/>
      <c r="F18" s="310"/>
      <c r="G18" s="302">
        <f t="shared" si="3"/>
        <v>0</v>
      </c>
      <c r="H18" s="310"/>
      <c r="I18" s="310"/>
      <c r="J18" s="302">
        <f t="shared" si="1"/>
        <v>0</v>
      </c>
      <c r="K18" s="310"/>
      <c r="L18" s="310">
        <v>-13600</v>
      </c>
      <c r="M18" s="302">
        <f t="shared" si="4"/>
        <v>-13600</v>
      </c>
      <c r="N18" s="302">
        <f t="shared" si="2"/>
        <v>-13600</v>
      </c>
      <c r="O18" s="311"/>
      <c r="P18" s="296"/>
      <c r="Q18" s="297"/>
      <c r="R18" s="297"/>
      <c r="S18" s="297"/>
      <c r="T18" s="297"/>
      <c r="U18" s="297"/>
    </row>
    <row r="19" spans="1:21" ht="43.5" customHeight="1">
      <c r="A19" s="292"/>
      <c r="B19" s="306" t="s">
        <v>152</v>
      </c>
      <c r="C19" s="310">
        <v>0</v>
      </c>
      <c r="D19" s="310">
        <v>0</v>
      </c>
      <c r="E19" s="310"/>
      <c r="F19" s="310">
        <v>0</v>
      </c>
      <c r="G19" s="302">
        <f t="shared" si="3"/>
        <v>0</v>
      </c>
      <c r="H19" s="310"/>
      <c r="I19" s="310"/>
      <c r="J19" s="302">
        <f t="shared" si="1"/>
        <v>0</v>
      </c>
      <c r="K19" s="310"/>
      <c r="L19" s="310">
        <v>0</v>
      </c>
      <c r="M19" s="302">
        <f t="shared" si="4"/>
        <v>0</v>
      </c>
      <c r="N19" s="302">
        <f t="shared" si="2"/>
        <v>0</v>
      </c>
      <c r="O19" s="311">
        <v>0</v>
      </c>
      <c r="P19" s="296"/>
      <c r="Q19" s="297"/>
      <c r="R19" s="297"/>
      <c r="S19" s="297"/>
      <c r="T19" s="297"/>
      <c r="U19" s="297"/>
    </row>
    <row r="20" spans="1:21" ht="43.5" customHeight="1">
      <c r="A20" s="292"/>
      <c r="B20" s="306" t="s">
        <v>153</v>
      </c>
      <c r="C20" s="310"/>
      <c r="D20" s="310"/>
      <c r="E20" s="310"/>
      <c r="F20" s="310"/>
      <c r="G20" s="302">
        <f t="shared" si="3"/>
        <v>0</v>
      </c>
      <c r="H20" s="310"/>
      <c r="I20" s="310"/>
      <c r="J20" s="302">
        <f t="shared" si="1"/>
        <v>0</v>
      </c>
      <c r="K20" s="310"/>
      <c r="L20" s="310">
        <v>0</v>
      </c>
      <c r="M20" s="302">
        <f t="shared" si="4"/>
        <v>0</v>
      </c>
      <c r="N20" s="302">
        <f t="shared" si="2"/>
        <v>0</v>
      </c>
      <c r="O20" s="311">
        <v>0</v>
      </c>
      <c r="P20" s="296"/>
      <c r="Q20" s="297"/>
      <c r="R20" s="297"/>
      <c r="S20" s="297"/>
      <c r="T20" s="297"/>
      <c r="U20" s="297"/>
    </row>
    <row r="21" spans="1:21" ht="43.5" customHeight="1" thickBot="1">
      <c r="A21" s="292"/>
      <c r="B21" s="313" t="s">
        <v>35</v>
      </c>
      <c r="C21" s="304"/>
      <c r="D21" s="304"/>
      <c r="E21" s="304"/>
      <c r="F21" s="304"/>
      <c r="G21" s="314">
        <f t="shared" si="3"/>
        <v>0</v>
      </c>
      <c r="H21" s="304"/>
      <c r="I21" s="304"/>
      <c r="J21" s="314">
        <f t="shared" si="1"/>
        <v>0</v>
      </c>
      <c r="K21" s="304"/>
      <c r="L21" s="304">
        <f>'E.RESUL'!C23</f>
        <v>17243.000000000036</v>
      </c>
      <c r="M21" s="302">
        <f t="shared" si="4"/>
        <v>17243.000000000036</v>
      </c>
      <c r="N21" s="302">
        <f>+G21+M21</f>
        <v>17243.000000000036</v>
      </c>
      <c r="O21" s="315">
        <v>18541.83</v>
      </c>
      <c r="P21" s="296"/>
      <c r="Q21" s="297"/>
      <c r="R21" s="297"/>
      <c r="S21" s="297"/>
      <c r="T21" s="297"/>
      <c r="U21" s="297"/>
    </row>
    <row r="22" spans="1:21" ht="43.5" customHeight="1" thickBot="1">
      <c r="A22" s="292"/>
      <c r="B22" s="326" t="s">
        <v>36</v>
      </c>
      <c r="C22" s="333">
        <f>SUM(C13:C21)</f>
        <v>50000</v>
      </c>
      <c r="D22" s="333">
        <f aca="true" t="shared" si="5" ref="D22:O22">SUM(D13:D21)</f>
        <v>100000</v>
      </c>
      <c r="E22" s="333">
        <f t="shared" si="5"/>
        <v>0</v>
      </c>
      <c r="F22" s="333">
        <f t="shared" si="5"/>
        <v>0</v>
      </c>
      <c r="G22" s="333">
        <f t="shared" si="5"/>
        <v>150000</v>
      </c>
      <c r="H22" s="333">
        <f t="shared" si="5"/>
        <v>30000</v>
      </c>
      <c r="I22" s="333">
        <f t="shared" si="5"/>
        <v>0</v>
      </c>
      <c r="J22" s="333">
        <f t="shared" si="5"/>
        <v>30000</v>
      </c>
      <c r="K22" s="333">
        <f t="shared" si="5"/>
        <v>0</v>
      </c>
      <c r="L22" s="333">
        <f t="shared" si="5"/>
        <v>39643.00000000004</v>
      </c>
      <c r="M22" s="333">
        <f t="shared" si="5"/>
        <v>69643.00000000003</v>
      </c>
      <c r="N22" s="333">
        <f t="shared" si="5"/>
        <v>219643.00000000003</v>
      </c>
      <c r="O22" s="308">
        <f t="shared" si="5"/>
        <v>216000</v>
      </c>
      <c r="P22" s="296"/>
      <c r="Q22" s="316"/>
      <c r="R22" s="297"/>
      <c r="S22" s="297"/>
      <c r="T22" s="297"/>
      <c r="U22" s="297"/>
    </row>
    <row r="23" spans="1:21" ht="15" customHeight="1">
      <c r="A23" s="208"/>
      <c r="B23" s="277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N23" s="180"/>
      <c r="O23" s="180"/>
      <c r="P23" s="296"/>
      <c r="Q23" s="297"/>
      <c r="R23" s="297"/>
      <c r="S23" s="297"/>
      <c r="T23" s="297"/>
      <c r="U23" s="297"/>
    </row>
    <row r="24" spans="1:21" ht="15" customHeight="1" thickBot="1">
      <c r="A24" s="208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N24" s="180"/>
      <c r="O24" s="180"/>
      <c r="P24" s="296"/>
      <c r="Q24" s="297"/>
      <c r="R24" s="297"/>
      <c r="S24" s="297"/>
      <c r="T24" s="297"/>
      <c r="U24" s="297"/>
    </row>
    <row r="25" spans="1:21" ht="15" customHeight="1" thickBot="1">
      <c r="A25" s="208"/>
      <c r="B25" s="317" t="s">
        <v>70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9"/>
      <c r="O25" s="320"/>
      <c r="P25" s="296"/>
      <c r="Q25" s="297"/>
      <c r="R25" s="297"/>
      <c r="S25" s="297"/>
      <c r="T25" s="297"/>
      <c r="U25" s="297"/>
    </row>
    <row r="26" spans="1:21" ht="15" customHeight="1" thickBot="1">
      <c r="A26" s="321"/>
      <c r="B26" s="322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264"/>
      <c r="Q26" s="297"/>
      <c r="R26" s="297"/>
      <c r="S26" s="297"/>
      <c r="T26" s="297"/>
      <c r="U26" s="297"/>
    </row>
    <row r="27" ht="30" customHeight="1" thickTop="1"/>
    <row r="28" ht="30" customHeight="1"/>
    <row r="29" ht="30" customHeight="1">
      <c r="M29" s="672">
        <v>216000</v>
      </c>
    </row>
    <row r="30" ht="30" customHeight="1">
      <c r="M30" s="672">
        <v>-13600</v>
      </c>
    </row>
    <row r="31" ht="30" customHeight="1">
      <c r="M31" s="672">
        <f>+M29+M30</f>
        <v>202400</v>
      </c>
    </row>
    <row r="32" ht="30" customHeight="1">
      <c r="M32" s="672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mergeCells count="16">
    <mergeCell ref="N8:N10"/>
    <mergeCell ref="O8:O10"/>
    <mergeCell ref="B1:O1"/>
    <mergeCell ref="B3:O3"/>
    <mergeCell ref="B4:O4"/>
    <mergeCell ref="B5:O5"/>
    <mergeCell ref="C9:C10"/>
    <mergeCell ref="D9:D10"/>
    <mergeCell ref="E9:E10"/>
    <mergeCell ref="F9:F10"/>
    <mergeCell ref="G9:G10"/>
    <mergeCell ref="H9:J9"/>
    <mergeCell ref="H8:M8"/>
    <mergeCell ref="K9:K10"/>
    <mergeCell ref="L9:L10"/>
    <mergeCell ref="M9:M10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3"/>
  <sheetViews>
    <sheetView showGridLines="0" showZeros="0" zoomScale="85" zoomScaleNormal="85" workbookViewId="0" topLeftCell="A21">
      <selection activeCell="A21" sqref="A21"/>
    </sheetView>
  </sheetViews>
  <sheetFormatPr defaultColWidth="11.421875" defaultRowHeight="12.75"/>
  <cols>
    <col min="1" max="1" width="2.7109375" style="336" customWidth="1"/>
    <col min="2" max="2" width="13.421875" style="336" customWidth="1"/>
    <col min="3" max="3" width="9.28125" style="336" customWidth="1"/>
    <col min="4" max="4" width="9.421875" style="336" customWidth="1"/>
    <col min="5" max="5" width="8.57421875" style="336" customWidth="1"/>
    <col min="6" max="6" width="4.57421875" style="336" customWidth="1"/>
    <col min="7" max="7" width="4.421875" style="336" customWidth="1"/>
    <col min="8" max="8" width="9.57421875" style="336" customWidth="1"/>
    <col min="9" max="9" width="8.8515625" style="336" customWidth="1"/>
    <col min="10" max="10" width="10.140625" style="336" customWidth="1"/>
    <col min="11" max="11" width="4.8515625" style="336" customWidth="1"/>
    <col min="12" max="12" width="5.140625" style="336" customWidth="1"/>
    <col min="13" max="13" width="8.28125" style="336" customWidth="1"/>
    <col min="14" max="14" width="8.00390625" style="336" customWidth="1"/>
    <col min="15" max="15" width="12.421875" style="336" customWidth="1"/>
    <col min="16" max="16" width="0.9921875" style="336" customWidth="1"/>
    <col min="17" max="16384" width="11.421875" style="336" customWidth="1"/>
  </cols>
  <sheetData>
    <row r="1" spans="1:16" ht="23.25" customHeight="1">
      <c r="A1" s="371"/>
      <c r="B1" s="620" t="str">
        <f>CARAT!B11</f>
        <v>IMAGINATE S.R.L.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372"/>
    </row>
    <row r="2" spans="1:16" ht="15.75">
      <c r="A2" s="373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74" t="s">
        <v>129</v>
      </c>
      <c r="O2" s="369"/>
      <c r="P2" s="375"/>
    </row>
    <row r="3" spans="1:16" ht="15" customHeight="1" thickBot="1">
      <c r="A3" s="373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5"/>
    </row>
    <row r="4" spans="1:16" ht="20.25" customHeight="1">
      <c r="A4" s="373"/>
      <c r="B4" s="621" t="s">
        <v>37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3"/>
      <c r="P4" s="375"/>
    </row>
    <row r="5" spans="1:16" ht="16.5" thickBot="1">
      <c r="A5" s="373"/>
      <c r="B5" s="624" t="s">
        <v>211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6"/>
      <c r="P5" s="375"/>
    </row>
    <row r="6" spans="1:16" ht="15" customHeight="1">
      <c r="A6" s="373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5"/>
    </row>
    <row r="7" spans="1:16" ht="15" customHeight="1" thickBot="1">
      <c r="A7" s="373"/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75"/>
    </row>
    <row r="8" spans="1:16" ht="15" customHeight="1" thickBot="1">
      <c r="A8" s="373"/>
      <c r="B8" s="377"/>
      <c r="C8" s="378" t="s">
        <v>38</v>
      </c>
      <c r="D8" s="379"/>
      <c r="E8" s="379"/>
      <c r="F8" s="379"/>
      <c r="G8" s="379"/>
      <c r="H8" s="380"/>
      <c r="I8" s="381" t="s">
        <v>39</v>
      </c>
      <c r="J8" s="382"/>
      <c r="K8" s="382"/>
      <c r="L8" s="382"/>
      <c r="M8" s="382"/>
      <c r="N8" s="383"/>
      <c r="O8" s="384" t="s">
        <v>40</v>
      </c>
      <c r="P8" s="375"/>
    </row>
    <row r="9" spans="1:16" ht="39" customHeight="1" thickBot="1">
      <c r="A9" s="373"/>
      <c r="B9" s="385" t="s">
        <v>41</v>
      </c>
      <c r="C9" s="386" t="s">
        <v>42</v>
      </c>
      <c r="D9" s="387" t="s">
        <v>43</v>
      </c>
      <c r="E9" s="388" t="s">
        <v>44</v>
      </c>
      <c r="F9" s="386" t="s">
        <v>45</v>
      </c>
      <c r="G9" s="386" t="s">
        <v>46</v>
      </c>
      <c r="H9" s="386" t="s">
        <v>47</v>
      </c>
      <c r="I9" s="386" t="s">
        <v>48</v>
      </c>
      <c r="J9" s="388" t="s">
        <v>44</v>
      </c>
      <c r="K9" s="386" t="s">
        <v>45</v>
      </c>
      <c r="L9" s="386" t="s">
        <v>46</v>
      </c>
      <c r="M9" s="386" t="s">
        <v>49</v>
      </c>
      <c r="N9" s="386" t="s">
        <v>50</v>
      </c>
      <c r="O9" s="389" t="s">
        <v>51</v>
      </c>
      <c r="P9" s="375"/>
    </row>
    <row r="10" spans="1:16" ht="24.75" customHeight="1">
      <c r="A10" s="373"/>
      <c r="B10" s="390" t="s">
        <v>72</v>
      </c>
      <c r="C10" s="391">
        <v>60000</v>
      </c>
      <c r="D10" s="392">
        <v>46000</v>
      </c>
      <c r="E10" s="392">
        <v>60000</v>
      </c>
      <c r="F10" s="392">
        <v>0</v>
      </c>
      <c r="G10" s="392">
        <v>0</v>
      </c>
      <c r="H10" s="392">
        <f>C10+D10-E10+F10-G10</f>
        <v>46000</v>
      </c>
      <c r="I10" s="392">
        <f>(18000+6000)*2</f>
        <v>48000</v>
      </c>
      <c r="J10" s="392">
        <v>48000</v>
      </c>
      <c r="K10" s="392">
        <v>0</v>
      </c>
      <c r="L10" s="392">
        <v>0</v>
      </c>
      <c r="M10" s="392">
        <v>9200</v>
      </c>
      <c r="N10" s="392">
        <f>I10-J10+K10-L10+M10</f>
        <v>9200</v>
      </c>
      <c r="O10" s="393">
        <f aca="true" t="shared" si="0" ref="O10:O18">H10-N10</f>
        <v>36800</v>
      </c>
      <c r="P10" s="375"/>
    </row>
    <row r="11" spans="1:16" ht="24.75" customHeight="1">
      <c r="A11" s="373"/>
      <c r="B11" s="394" t="s">
        <v>54</v>
      </c>
      <c r="C11" s="391">
        <f>2825*2</f>
        <v>5650</v>
      </c>
      <c r="D11" s="392">
        <v>0</v>
      </c>
      <c r="E11" s="392">
        <v>0</v>
      </c>
      <c r="F11" s="392">
        <v>0</v>
      </c>
      <c r="G11" s="392">
        <v>0</v>
      </c>
      <c r="H11" s="392">
        <f aca="true" t="shared" si="1" ref="H11:H18">C11+D11-E11+F11-G11</f>
        <v>5650</v>
      </c>
      <c r="I11" s="392">
        <f>(954.5+387.5)*2</f>
        <v>2684</v>
      </c>
      <c r="J11" s="392">
        <v>0</v>
      </c>
      <c r="K11" s="392">
        <v>0</v>
      </c>
      <c r="L11" s="392">
        <v>0</v>
      </c>
      <c r="M11" s="392">
        <v>775</v>
      </c>
      <c r="N11" s="392">
        <f aca="true" t="shared" si="2" ref="N11:N18">I11-J11+K11-L11+M11</f>
        <v>3459</v>
      </c>
      <c r="O11" s="393">
        <f t="shared" si="0"/>
        <v>2191</v>
      </c>
      <c r="P11" s="375"/>
    </row>
    <row r="12" spans="1:16" ht="24.75" customHeight="1">
      <c r="A12" s="373"/>
      <c r="B12" s="394" t="s">
        <v>55</v>
      </c>
      <c r="C12" s="391">
        <v>810</v>
      </c>
      <c r="D12" s="392">
        <v>0</v>
      </c>
      <c r="E12" s="392">
        <v>0</v>
      </c>
      <c r="F12" s="392">
        <v>0</v>
      </c>
      <c r="G12" s="392">
        <v>0</v>
      </c>
      <c r="H12" s="392">
        <f t="shared" si="1"/>
        <v>810</v>
      </c>
      <c r="I12" s="392">
        <f>(60.75+20.25)*2</f>
        <v>162</v>
      </c>
      <c r="J12" s="392">
        <v>0</v>
      </c>
      <c r="K12" s="392">
        <v>0</v>
      </c>
      <c r="L12" s="392">
        <v>0</v>
      </c>
      <c r="M12" s="392">
        <v>40.5</v>
      </c>
      <c r="N12" s="392">
        <f t="shared" si="2"/>
        <v>202.5</v>
      </c>
      <c r="O12" s="393">
        <f t="shared" si="0"/>
        <v>607.5</v>
      </c>
      <c r="P12" s="375"/>
    </row>
    <row r="13" spans="1:16" ht="24.75" customHeight="1">
      <c r="A13" s="373"/>
      <c r="B13" s="395" t="s">
        <v>52</v>
      </c>
      <c r="C13" s="391">
        <v>0</v>
      </c>
      <c r="D13" s="392">
        <v>0</v>
      </c>
      <c r="E13" s="392">
        <v>0</v>
      </c>
      <c r="F13" s="392">
        <v>0</v>
      </c>
      <c r="G13" s="392">
        <v>0</v>
      </c>
      <c r="H13" s="392">
        <f t="shared" si="1"/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f t="shared" si="2"/>
        <v>0</v>
      </c>
      <c r="O13" s="393">
        <f t="shared" si="0"/>
        <v>0</v>
      </c>
      <c r="P13" s="375"/>
    </row>
    <row r="14" spans="1:16" ht="24.75" customHeight="1">
      <c r="A14" s="373"/>
      <c r="B14" s="394" t="s">
        <v>53</v>
      </c>
      <c r="C14" s="391">
        <v>0</v>
      </c>
      <c r="D14" s="392">
        <v>0</v>
      </c>
      <c r="E14" s="392">
        <v>0</v>
      </c>
      <c r="F14" s="392">
        <v>0</v>
      </c>
      <c r="G14" s="392">
        <v>0</v>
      </c>
      <c r="H14" s="392">
        <f t="shared" si="1"/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2">
        <f t="shared" si="2"/>
        <v>0</v>
      </c>
      <c r="O14" s="393">
        <f t="shared" si="0"/>
        <v>0</v>
      </c>
      <c r="P14" s="375"/>
    </row>
    <row r="15" spans="1:16" ht="24.75" customHeight="1">
      <c r="A15" s="373"/>
      <c r="B15" s="394" t="s">
        <v>56</v>
      </c>
      <c r="C15" s="391">
        <v>0</v>
      </c>
      <c r="D15" s="392">
        <v>0</v>
      </c>
      <c r="E15" s="392">
        <v>0</v>
      </c>
      <c r="F15" s="392">
        <v>0</v>
      </c>
      <c r="G15" s="392">
        <v>0</v>
      </c>
      <c r="H15" s="392">
        <f t="shared" si="1"/>
        <v>0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  <c r="N15" s="392">
        <f t="shared" si="2"/>
        <v>0</v>
      </c>
      <c r="O15" s="393">
        <f t="shared" si="0"/>
        <v>0</v>
      </c>
      <c r="P15" s="375"/>
    </row>
    <row r="16" spans="1:16" ht="24.75" customHeight="1">
      <c r="A16" s="373"/>
      <c r="B16" s="396"/>
      <c r="C16" s="397">
        <v>0</v>
      </c>
      <c r="D16" s="392">
        <v>0</v>
      </c>
      <c r="E16" s="392">
        <v>0</v>
      </c>
      <c r="F16" s="392">
        <v>0</v>
      </c>
      <c r="G16" s="392">
        <v>0</v>
      </c>
      <c r="H16" s="392">
        <f t="shared" si="1"/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  <c r="N16" s="392">
        <f t="shared" si="2"/>
        <v>0</v>
      </c>
      <c r="O16" s="392">
        <f t="shared" si="0"/>
        <v>0</v>
      </c>
      <c r="P16" s="375"/>
    </row>
    <row r="17" spans="1:16" ht="24.75" customHeight="1">
      <c r="A17" s="373"/>
      <c r="B17" s="396"/>
      <c r="C17" s="392">
        <v>0</v>
      </c>
      <c r="D17" s="392">
        <v>0</v>
      </c>
      <c r="E17" s="392">
        <v>0</v>
      </c>
      <c r="F17" s="392">
        <v>0</v>
      </c>
      <c r="G17" s="392">
        <v>0</v>
      </c>
      <c r="H17" s="392">
        <f t="shared" si="1"/>
        <v>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  <c r="N17" s="392">
        <f t="shared" si="2"/>
        <v>0</v>
      </c>
      <c r="O17" s="392">
        <f t="shared" si="0"/>
        <v>0</v>
      </c>
      <c r="P17" s="375"/>
    </row>
    <row r="18" spans="1:16" ht="24.75" customHeight="1" thickBot="1">
      <c r="A18" s="373"/>
      <c r="B18" s="398"/>
      <c r="C18" s="399">
        <v>0</v>
      </c>
      <c r="D18" s="399">
        <v>0</v>
      </c>
      <c r="E18" s="399">
        <v>0</v>
      </c>
      <c r="F18" s="399">
        <v>0</v>
      </c>
      <c r="G18" s="399">
        <v>0</v>
      </c>
      <c r="H18" s="399">
        <f t="shared" si="1"/>
        <v>0</v>
      </c>
      <c r="I18" s="399">
        <v>0</v>
      </c>
      <c r="J18" s="399">
        <v>0</v>
      </c>
      <c r="K18" s="399">
        <v>0</v>
      </c>
      <c r="L18" s="399">
        <v>0</v>
      </c>
      <c r="M18" s="399">
        <v>0</v>
      </c>
      <c r="N18" s="399">
        <f t="shared" si="2"/>
        <v>0</v>
      </c>
      <c r="O18" s="399">
        <f t="shared" si="0"/>
        <v>0</v>
      </c>
      <c r="P18" s="375"/>
    </row>
    <row r="19" spans="1:16" ht="24.75" customHeight="1" thickBot="1">
      <c r="A19" s="373"/>
      <c r="B19" s="400" t="s">
        <v>57</v>
      </c>
      <c r="C19" s="401">
        <f aca="true" t="shared" si="3" ref="C19:O19">SUM(C10:C18)</f>
        <v>66460</v>
      </c>
      <c r="D19" s="401">
        <f>SUM(D10:D18)</f>
        <v>46000</v>
      </c>
      <c r="E19" s="401">
        <f>SUM(E10:E18)</f>
        <v>60000</v>
      </c>
      <c r="F19" s="402">
        <f t="shared" si="3"/>
        <v>0</v>
      </c>
      <c r="G19" s="402">
        <f t="shared" si="3"/>
        <v>0</v>
      </c>
      <c r="H19" s="402">
        <f t="shared" si="3"/>
        <v>52460</v>
      </c>
      <c r="I19" s="402">
        <f t="shared" si="3"/>
        <v>50846</v>
      </c>
      <c r="J19" s="402">
        <f>SUM(J10:J18)</f>
        <v>48000</v>
      </c>
      <c r="K19" s="402">
        <f t="shared" si="3"/>
        <v>0</v>
      </c>
      <c r="L19" s="402">
        <f t="shared" si="3"/>
        <v>0</v>
      </c>
      <c r="M19" s="401">
        <f t="shared" si="3"/>
        <v>10015.5</v>
      </c>
      <c r="N19" s="401">
        <f t="shared" si="3"/>
        <v>12861.5</v>
      </c>
      <c r="O19" s="402">
        <f t="shared" si="3"/>
        <v>39598.5</v>
      </c>
      <c r="P19" s="375"/>
    </row>
    <row r="20" spans="1:16" ht="19.5" customHeight="1">
      <c r="A20" s="373"/>
      <c r="B20" s="403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5"/>
      <c r="P20" s="375"/>
    </row>
    <row r="21" spans="1:16" ht="19.5" customHeight="1">
      <c r="A21" s="373"/>
      <c r="B21" s="403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5"/>
      <c r="P21" s="375"/>
    </row>
    <row r="22" spans="1:16" ht="15" customHeight="1">
      <c r="A22" s="373"/>
      <c r="B22" s="406" t="s">
        <v>70</v>
      </c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8"/>
      <c r="P22" s="375"/>
    </row>
    <row r="23" spans="1:16" ht="15" customHeight="1" thickBot="1">
      <c r="A23" s="409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1"/>
    </row>
    <row r="24" ht="15" customHeight="1"/>
    <row r="25" ht="15" customHeight="1"/>
    <row r="26" ht="15" customHeight="1"/>
    <row r="27" ht="15" customHeight="1"/>
    <row r="28" ht="15" customHeight="1"/>
  </sheetData>
  <mergeCells count="3">
    <mergeCell ref="B1:O1"/>
    <mergeCell ref="B4:O4"/>
    <mergeCell ref="B5:O5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MOD. PRESENT. R.T.9</dc:title>
  <dc:subject/>
  <dc:creator>Area Computación - Dpto. de Cs</dc:creator>
  <cp:keywords/>
  <dc:description/>
  <cp:lastModifiedBy>Claudia</cp:lastModifiedBy>
  <cp:lastPrinted>2008-07-09T20:46:10Z</cp:lastPrinted>
  <dcterms:created xsi:type="dcterms:W3CDTF">1998-11-24T23:08:40Z</dcterms:created>
  <dcterms:modified xsi:type="dcterms:W3CDTF">2016-07-20T02:49:23Z</dcterms:modified>
  <cp:category/>
  <cp:version/>
  <cp:contentType/>
  <cp:contentStatus/>
</cp:coreProperties>
</file>